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0" yWindow="60" windowWidth="20490" windowHeight="5085" tabRatio="921" firstSheet="1" activeTab="2"/>
  </bookViews>
  <sheets>
    <sheet name="F-2 niAFT" sheetId="128" state="hidden" r:id="rId1"/>
    <sheet name="Title Input and Macros" sheetId="45" r:id="rId2"/>
    <sheet name="A" sheetId="1" r:id="rId3"/>
    <sheet name="B" sheetId="11" r:id="rId4"/>
    <sheet name="Sched B-1 Pg 1" sheetId="32" r:id="rId5"/>
    <sheet name="Sched B-1 Pg 2" sheetId="33" r:id="rId6"/>
    <sheet name="Sched B-2 pg 1" sheetId="34" r:id="rId7"/>
    <sheet name="Sched B-2 pg 2" sheetId="123" r:id="rId8"/>
    <sheet name="C" sheetId="26" r:id="rId9"/>
    <sheet name="Sched C-1" sheetId="38" r:id="rId10"/>
    <sheet name="Sched C-2" sheetId="41" r:id="rId11"/>
    <sheet name="Sched C-3" sheetId="109" r:id="rId12"/>
    <sheet name="Sched C-4" sheetId="42" r:id="rId13"/>
    <sheet name="Sched C-5" sheetId="43" r:id="rId14"/>
    <sheet name="D" sheetId="46" r:id="rId15"/>
    <sheet name="Sched D-1" sheetId="47" r:id="rId16"/>
    <sheet name="Sched D-2" sheetId="48" r:id="rId17"/>
    <sheet name="E" sheetId="49" r:id="rId18"/>
    <sheet name="Sched E-1" sheetId="50" r:id="rId19"/>
    <sheet name="Sched E-2" sheetId="51" r:id="rId20"/>
    <sheet name="Sched E-3" sheetId="52" r:id="rId21"/>
    <sheet name="F-1" sheetId="53" r:id="rId22"/>
    <sheet name="F-2" sheetId="127" r:id="rId23"/>
    <sheet name="F-3" sheetId="124" r:id="rId24"/>
    <sheet name="F-3123" sheetId="55" state="hidden" r:id="rId25"/>
    <sheet name="F-4" sheetId="56" r:id="rId26"/>
    <sheet name="G " sheetId="133" r:id="rId27"/>
    <sheet name="G-1 " sheetId="134" r:id="rId28"/>
    <sheet name="G-2 " sheetId="135" r:id="rId29"/>
    <sheet name="G-3" sheetId="140" r:id="rId30"/>
    <sheet name="G-4" sheetId="141" r:id="rId31"/>
    <sheet name="G-5" sheetId="120" r:id="rId32"/>
    <sheet name="G-6" sheetId="142" r:id="rId33"/>
    <sheet name="H-1" sheetId="57" r:id="rId34"/>
    <sheet name="H-1 Table" sheetId="122" r:id="rId35"/>
    <sheet name="H-1 ADJ" sheetId="86" r:id="rId36"/>
    <sheet name="H-1(1)" sheetId="129" r:id="rId37"/>
    <sheet name="H-1 (1)(a)" sheetId="62" r:id="rId38"/>
    <sheet name="H-1 (1)(b)" sheetId="65" r:id="rId39"/>
    <sheet name="H-1 (1)(c) $" sheetId="69" r:id="rId40"/>
    <sheet name="H-1 (1)(c) Dth" sheetId="72" r:id="rId41"/>
    <sheet name="H-1 (2)(a) $ " sheetId="125" r:id="rId42"/>
    <sheet name="H-1 (2)(a) Dth" sheetId="126" r:id="rId43"/>
    <sheet name="Sched H-1 (2)(b)" sheetId="76" r:id="rId44"/>
    <sheet name="Sched H-1 (2)(c)" sheetId="77" r:id="rId45"/>
    <sheet name="Sched H-1 (2)(d)" sheetId="78" r:id="rId46"/>
    <sheet name="Sched H-1 (2)(e)" sheetId="79" r:id="rId47"/>
    <sheet name="Sched H-1 (2)(f)" sheetId="80" r:id="rId48"/>
    <sheet name="Sched H-1 (2)(g)" sheetId="81" r:id="rId49"/>
    <sheet name="Sched H-1 (2)(h)" sheetId="82" r:id="rId50"/>
    <sheet name="Sched H-1 (2)(i)" sheetId="121" r:id="rId51"/>
    <sheet name="Sched H-1 (2)(j)" sheetId="84" r:id="rId52"/>
    <sheet name="Sched H-1 (2)(k)" sheetId="85" r:id="rId53"/>
    <sheet name="H-2 P1" sheetId="87" r:id="rId54"/>
    <sheet name="H-2 P2" sheetId="88" r:id="rId55"/>
    <sheet name="Sched H-2(1)" sheetId="90" r:id="rId56"/>
    <sheet name="H-3" sheetId="119" r:id="rId57"/>
    <sheet name="H-3(1)" sheetId="93" r:id="rId58"/>
    <sheet name="H-3(2)" sheetId="95" r:id="rId59"/>
    <sheet name="H-4 1of3" sheetId="96" r:id="rId60"/>
    <sheet name="H-4 2of3" sheetId="97" r:id="rId61"/>
    <sheet name="Sched H-4 3of3" sheetId="99" r:id="rId62"/>
    <sheet name="I-1" sheetId="117" r:id="rId63"/>
    <sheet name="I-1(a)1" sheetId="4" r:id="rId64"/>
    <sheet name="I-1(b)" sheetId="29" r:id="rId65"/>
    <sheet name="Sched I-1(c)" sheetId="100" r:id="rId66"/>
    <sheet name="I-2" sheetId="136" r:id="rId67"/>
    <sheet name="I-3" sheetId="137" r:id="rId68"/>
    <sheet name="I-4" sheetId="138" r:id="rId69"/>
    <sheet name="I-5" sheetId="139" r:id="rId70"/>
    <sheet name="J" sheetId="130" r:id="rId71"/>
    <sheet name="J-1" sheetId="131" r:id="rId72"/>
    <sheet name="J-2" sheetId="132" r:id="rId73"/>
    <sheet name="L" sheetId="114" r:id="rId74"/>
    <sheet name="M" sheetId="115" r:id="rId75"/>
  </sheets>
  <externalReferences>
    <externalReference r:id="rId76"/>
    <externalReference r:id="rId77"/>
  </externalReferences>
  <definedNames>
    <definedName name="_xlnm._FilterDatabase" localSheetId="27" hidden="1">'G-1 '!$G$5:$G$504</definedName>
    <definedName name="_xlnm._FilterDatabase" localSheetId="28" hidden="1">'G-2 '!$A$5:$AJ$468</definedName>
    <definedName name="_xlnm._FilterDatabase" localSheetId="38" hidden="1">'H-1 (1)(b)'!$D$26:$R$73</definedName>
    <definedName name="_xlnm.Print_Area" localSheetId="14">D!$A$1:$L$32</definedName>
    <definedName name="_xlnm.Print_Area" localSheetId="22">'F-2'!$A$1:$J$23</definedName>
    <definedName name="_xlnm.Print_Area" localSheetId="25">'F-4'!$A$1:$H$10</definedName>
    <definedName name="_xlnm.Print_Area" localSheetId="42">'H-1 (2)(a) Dth'!$A$1:$R$19</definedName>
    <definedName name="_xlnm.Print_Area" localSheetId="36">'H-1(1)'!$A$1:$F$13</definedName>
    <definedName name="_xlnm.Print_Area" localSheetId="57">'H-3(1)'!$A$1:$J$28</definedName>
    <definedName name="_xlnm.Print_Area" localSheetId="58">'H-3(2)'!$A$1:$D$10</definedName>
    <definedName name="_xlnm.Print_Area" localSheetId="66">'I-2'!$A$1:$R$49</definedName>
    <definedName name="_xlnm.Print_Area" localSheetId="73">L!$A$1:$G$85</definedName>
    <definedName name="_xlnm.Print_Area" localSheetId="74">M!$A$1:$K$59</definedName>
    <definedName name="_xlnm.Print_Area" localSheetId="4">'Sched B-1 Pg 1'!$A$1:$G$31</definedName>
    <definedName name="_xlnm.Print_Area" localSheetId="6">'Sched B-2 pg 1'!$A$1:$P$44</definedName>
    <definedName name="_xlnm.Print_Area" localSheetId="7">'Sched B-2 pg 2'!$A$1:$P$45</definedName>
    <definedName name="_xlnm.Print_Area" localSheetId="9">'Sched C-1'!$A$1:$H$47</definedName>
    <definedName name="_xlnm.Print_Area" localSheetId="10">'Sched C-2'!$A$1:$K$28</definedName>
    <definedName name="_xlnm.Print_Area" localSheetId="11">'Sched C-3'!$A$1:$I$26</definedName>
    <definedName name="_xlnm.Print_Area" localSheetId="1">'Title Input and Macros'!$A$1:$C$52</definedName>
    <definedName name="_xlnm.Print_Titles" localSheetId="27">'G-1 '!$5:$7</definedName>
    <definedName name="_xlnm.Print_Titles" localSheetId="28">'G-2 '!$5:$7</definedName>
  </definedNames>
  <calcPr calcId="145621"/>
</workbook>
</file>

<file path=xl/calcChain.xml><?xml version="1.0" encoding="utf-8"?>
<calcChain xmlns="http://schemas.openxmlformats.org/spreadsheetml/2006/main">
  <c r="A4" i="38" l="1"/>
  <c r="D16" i="97" l="1"/>
  <c r="C16" i="97"/>
  <c r="A4" i="87" l="1"/>
  <c r="L64" i="122"/>
  <c r="M64" i="122"/>
  <c r="N64" i="122"/>
  <c r="C14" i="127"/>
  <c r="G17" i="124"/>
  <c r="I45" i="136" l="1"/>
  <c r="E26" i="130" s="1"/>
  <c r="G26" i="130" s="1"/>
  <c r="I39" i="136"/>
  <c r="K39" i="136" s="1"/>
  <c r="O39" i="136" s="1"/>
  <c r="I27" i="136"/>
  <c r="I28" i="136"/>
  <c r="I29" i="136"/>
  <c r="I30" i="136"/>
  <c r="K30" i="136" s="1"/>
  <c r="O30" i="136" s="1"/>
  <c r="I31" i="136"/>
  <c r="K31" i="136" s="1"/>
  <c r="O31" i="136" s="1"/>
  <c r="I32" i="136"/>
  <c r="I26" i="136"/>
  <c r="I13" i="136"/>
  <c r="K13" i="136" s="1"/>
  <c r="O13" i="136" s="1"/>
  <c r="I14" i="136"/>
  <c r="K14" i="136" s="1"/>
  <c r="O14" i="136" s="1"/>
  <c r="I15" i="136"/>
  <c r="K15" i="136" s="1"/>
  <c r="O15" i="136" s="1"/>
  <c r="I16" i="136"/>
  <c r="I17" i="136"/>
  <c r="K17" i="136" s="1"/>
  <c r="O17" i="136" s="1"/>
  <c r="I18" i="136"/>
  <c r="K18" i="136" s="1"/>
  <c r="O18" i="136" s="1"/>
  <c r="I19" i="136"/>
  <c r="K19" i="136" s="1"/>
  <c r="O19" i="136" s="1"/>
  <c r="I20" i="136"/>
  <c r="I21" i="136"/>
  <c r="K21" i="136" s="1"/>
  <c r="O21" i="136" s="1"/>
  <c r="I22" i="136"/>
  <c r="K22" i="136" s="1"/>
  <c r="O22" i="136" s="1"/>
  <c r="I12" i="136"/>
  <c r="K12" i="136" s="1"/>
  <c r="Q47" i="136"/>
  <c r="Q45" i="136"/>
  <c r="Q43" i="136"/>
  <c r="K43" i="136"/>
  <c r="O43" i="136" s="1"/>
  <c r="Q42" i="136"/>
  <c r="K42" i="136"/>
  <c r="O42" i="136" s="1"/>
  <c r="Q39" i="136"/>
  <c r="Q35" i="136"/>
  <c r="M33" i="136"/>
  <c r="Q32" i="136"/>
  <c r="K32" i="136"/>
  <c r="O32" i="136" s="1"/>
  <c r="Q31" i="136"/>
  <c r="Q30" i="136"/>
  <c r="Q29" i="136"/>
  <c r="K29" i="136"/>
  <c r="O29" i="136" s="1"/>
  <c r="Q28" i="136"/>
  <c r="K28" i="136"/>
  <c r="O28" i="136" s="1"/>
  <c r="Q27" i="136"/>
  <c r="K27" i="136"/>
  <c r="O27" i="136" s="1"/>
  <c r="Q26" i="136"/>
  <c r="Q22" i="136"/>
  <c r="Q21" i="136"/>
  <c r="Q20" i="136"/>
  <c r="K20" i="136"/>
  <c r="O20" i="136" s="1"/>
  <c r="Q19" i="136"/>
  <c r="Q18" i="136"/>
  <c r="Q17" i="136"/>
  <c r="Q16" i="136"/>
  <c r="K16" i="136"/>
  <c r="O16" i="136" s="1"/>
  <c r="Q14" i="136"/>
  <c r="Q13" i="136"/>
  <c r="Q12" i="136"/>
  <c r="V467" i="135"/>
  <c r="V466" i="135"/>
  <c r="V465" i="135"/>
  <c r="A464" i="135"/>
  <c r="M463" i="135"/>
  <c r="K463" i="135"/>
  <c r="AA462" i="135"/>
  <c r="Q462" i="135"/>
  <c r="AA461" i="135"/>
  <c r="Q461" i="135"/>
  <c r="A461" i="135"/>
  <c r="A462" i="135" s="1"/>
  <c r="A463" i="135" s="1"/>
  <c r="AA460" i="135"/>
  <c r="Q460" i="135"/>
  <c r="A460" i="135"/>
  <c r="AA459" i="135"/>
  <c r="Q459" i="135"/>
  <c r="A458" i="135"/>
  <c r="M457" i="135"/>
  <c r="K457" i="135"/>
  <c r="AA456" i="135"/>
  <c r="AA455" i="135"/>
  <c r="A455" i="135"/>
  <c r="A456" i="135" s="1"/>
  <c r="A457" i="135" s="1"/>
  <c r="AA454" i="135"/>
  <c r="A454" i="135"/>
  <c r="AA453" i="135"/>
  <c r="A453" i="135"/>
  <c r="AA452" i="135"/>
  <c r="A452" i="135"/>
  <c r="AA451" i="135"/>
  <c r="AA457" i="135" s="1"/>
  <c r="A450" i="135"/>
  <c r="K449" i="135"/>
  <c r="AA448" i="135"/>
  <c r="AA447" i="135"/>
  <c r="AA446" i="135"/>
  <c r="AA445" i="135"/>
  <c r="AA444" i="135"/>
  <c r="AA443" i="135"/>
  <c r="AA442" i="135"/>
  <c r="AA441" i="135"/>
  <c r="AA440" i="135"/>
  <c r="M439" i="135"/>
  <c r="M449" i="135" s="1"/>
  <c r="AA438" i="135"/>
  <c r="AA437" i="135"/>
  <c r="AA436" i="135"/>
  <c r="AA435" i="135"/>
  <c r="AA434" i="135"/>
  <c r="AA433" i="135"/>
  <c r="A433" i="135"/>
  <c r="A434" i="135" s="1"/>
  <c r="A435" i="135" s="1"/>
  <c r="A436" i="135" s="1"/>
  <c r="A437" i="135" s="1"/>
  <c r="A438" i="135" s="1"/>
  <c r="AA432" i="135"/>
  <c r="AA431" i="135"/>
  <c r="A431" i="135"/>
  <c r="A432" i="135" s="1"/>
  <c r="AA430" i="135"/>
  <c r="AA429" i="135"/>
  <c r="A429" i="135"/>
  <c r="A430" i="135" s="1"/>
  <c r="AA428" i="135"/>
  <c r="A427" i="135"/>
  <c r="A426" i="135"/>
  <c r="A425" i="135"/>
  <c r="AA424" i="135"/>
  <c r="M424" i="135"/>
  <c r="K424" i="135"/>
  <c r="AA423" i="135"/>
  <c r="Q423" i="135"/>
  <c r="AA422" i="135"/>
  <c r="Q422" i="135"/>
  <c r="A422" i="135"/>
  <c r="A423" i="135" s="1"/>
  <c r="AA421" i="135"/>
  <c r="Q421" i="135"/>
  <c r="A421" i="135"/>
  <c r="AA420" i="135"/>
  <c r="Q420" i="135"/>
  <c r="A419" i="135"/>
  <c r="M418" i="135"/>
  <c r="K418" i="135"/>
  <c r="AA417" i="135"/>
  <c r="AA416" i="135"/>
  <c r="AA415" i="135"/>
  <c r="A415" i="135"/>
  <c r="A416" i="135" s="1"/>
  <c r="A417" i="135" s="1"/>
  <c r="A418" i="135" s="1"/>
  <c r="AA414" i="135"/>
  <c r="AA413" i="135"/>
  <c r="A413" i="135"/>
  <c r="A414" i="135" s="1"/>
  <c r="AA412" i="135"/>
  <c r="A411" i="135"/>
  <c r="K410" i="135"/>
  <c r="AA409" i="135"/>
  <c r="AA408" i="135"/>
  <c r="AA407" i="135"/>
  <c r="AA406" i="135"/>
  <c r="AA405" i="135"/>
  <c r="AA404" i="135"/>
  <c r="AA403" i="135"/>
  <c r="AA402" i="135"/>
  <c r="AA401" i="135"/>
  <c r="M400" i="135"/>
  <c r="AA400" i="135" s="1"/>
  <c r="AA399" i="135"/>
  <c r="AA398" i="135"/>
  <c r="AA397" i="135"/>
  <c r="AA396" i="135"/>
  <c r="AA395" i="135"/>
  <c r="AA394" i="135"/>
  <c r="AA393" i="135"/>
  <c r="AA392" i="135"/>
  <c r="A392" i="135"/>
  <c r="A393" i="135" s="1"/>
  <c r="A394" i="135" s="1"/>
  <c r="A395" i="135" s="1"/>
  <c r="A396" i="135" s="1"/>
  <c r="A397" i="135" s="1"/>
  <c r="A398" i="135" s="1"/>
  <c r="A399" i="135" s="1"/>
  <c r="AA391" i="135"/>
  <c r="AA390" i="135"/>
  <c r="A390" i="135"/>
  <c r="A391" i="135" s="1"/>
  <c r="AA389" i="135"/>
  <c r="A388" i="135"/>
  <c r="A387" i="135"/>
  <c r="A386" i="135"/>
  <c r="AA385" i="135"/>
  <c r="M385" i="135"/>
  <c r="K385" i="135"/>
  <c r="A385" i="135" s="1"/>
  <c r="AA384" i="135"/>
  <c r="Q384" i="135"/>
  <c r="Q385" i="135" s="1"/>
  <c r="A383" i="135"/>
  <c r="M382" i="135"/>
  <c r="K382" i="135"/>
  <c r="AA381" i="135"/>
  <c r="AA380" i="135"/>
  <c r="AA379" i="135"/>
  <c r="AA378" i="135"/>
  <c r="AA377" i="135"/>
  <c r="A377" i="135"/>
  <c r="A378" i="135" s="1"/>
  <c r="A379" i="135" s="1"/>
  <c r="A380" i="135" s="1"/>
  <c r="A381" i="135" s="1"/>
  <c r="AA376" i="135"/>
  <c r="A375" i="135"/>
  <c r="K374" i="135"/>
  <c r="AA373" i="135"/>
  <c r="AA372" i="135"/>
  <c r="AA371" i="135"/>
  <c r="AA370" i="135"/>
  <c r="AA369" i="135"/>
  <c r="AA368" i="135"/>
  <c r="AA367" i="135"/>
  <c r="AA366" i="135"/>
  <c r="AA365" i="135"/>
  <c r="M364" i="135"/>
  <c r="AA363" i="135"/>
  <c r="AA362" i="135"/>
  <c r="AA361" i="135"/>
  <c r="AA360" i="135"/>
  <c r="AA359" i="135"/>
  <c r="AA358" i="135"/>
  <c r="AA357" i="135"/>
  <c r="AA356" i="135"/>
  <c r="AA355" i="135"/>
  <c r="AA354" i="135"/>
  <c r="A354" i="135"/>
  <c r="A355" i="135" s="1"/>
  <c r="A356" i="135" s="1"/>
  <c r="A357" i="135" s="1"/>
  <c r="A358" i="135" s="1"/>
  <c r="A359" i="135" s="1"/>
  <c r="A360" i="135" s="1"/>
  <c r="A361" i="135" s="1"/>
  <c r="A362" i="135" s="1"/>
  <c r="A363" i="135" s="1"/>
  <c r="AA353" i="135"/>
  <c r="A352" i="135"/>
  <c r="A351" i="135"/>
  <c r="A350" i="135"/>
  <c r="M349" i="135"/>
  <c r="K349" i="135"/>
  <c r="A349" i="135"/>
  <c r="AA348" i="135"/>
  <c r="AA349" i="135" s="1"/>
  <c r="Q348" i="135"/>
  <c r="A347" i="135"/>
  <c r="M346" i="135"/>
  <c r="K346" i="135"/>
  <c r="AA345" i="135"/>
  <c r="AA344" i="135"/>
  <c r="AA343" i="135"/>
  <c r="AA342" i="135"/>
  <c r="AA341" i="135"/>
  <c r="AA340" i="135"/>
  <c r="AA346" i="135" s="1"/>
  <c r="A340" i="135"/>
  <c r="A341" i="135" s="1"/>
  <c r="A342" i="135" s="1"/>
  <c r="A343" i="135" s="1"/>
  <c r="A344" i="135" s="1"/>
  <c r="A345" i="135" s="1"/>
  <c r="AA339" i="135"/>
  <c r="A338" i="135"/>
  <c r="K337" i="135"/>
  <c r="AA336" i="135"/>
  <c r="AA335" i="135"/>
  <c r="AA334" i="135"/>
  <c r="AA333" i="135"/>
  <c r="AA332" i="135"/>
  <c r="AA331" i="135"/>
  <c r="AA330" i="135"/>
  <c r="AA329" i="135"/>
  <c r="AA328" i="135"/>
  <c r="M327" i="135"/>
  <c r="AA327" i="135" s="1"/>
  <c r="AA326" i="135"/>
  <c r="AA325" i="135"/>
  <c r="AA324" i="135"/>
  <c r="AA323" i="135"/>
  <c r="AA322" i="135"/>
  <c r="AA321" i="135"/>
  <c r="AA320" i="135"/>
  <c r="AA319" i="135"/>
  <c r="A319" i="135"/>
  <c r="A320" i="135" s="1"/>
  <c r="A321" i="135" s="1"/>
  <c r="A322" i="135" s="1"/>
  <c r="A323" i="135" s="1"/>
  <c r="A324" i="135" s="1"/>
  <c r="A325" i="135" s="1"/>
  <c r="A326" i="135" s="1"/>
  <c r="AA318" i="135"/>
  <c r="AA317" i="135"/>
  <c r="A317" i="135"/>
  <c r="A318" i="135" s="1"/>
  <c r="AA316" i="135"/>
  <c r="A315" i="135"/>
  <c r="A314" i="135"/>
  <c r="A313" i="135"/>
  <c r="AA312" i="135"/>
  <c r="M312" i="135"/>
  <c r="K312" i="135"/>
  <c r="A312" i="135" s="1"/>
  <c r="AA311" i="135"/>
  <c r="Q311" i="135"/>
  <c r="Q312" i="135" s="1"/>
  <c r="A310" i="135"/>
  <c r="M309" i="135"/>
  <c r="K309" i="135"/>
  <c r="AA308" i="135"/>
  <c r="AA307" i="135"/>
  <c r="AA306" i="135"/>
  <c r="AA309" i="135" s="1"/>
  <c r="AA305" i="135"/>
  <c r="AA304" i="135"/>
  <c r="AA303" i="135"/>
  <c r="A303" i="135"/>
  <c r="A304" i="135" s="1"/>
  <c r="A305" i="135" s="1"/>
  <c r="A306" i="135" s="1"/>
  <c r="A307" i="135" s="1"/>
  <c r="A308" i="135" s="1"/>
  <c r="AA302" i="135"/>
  <c r="A301" i="135"/>
  <c r="K300" i="135"/>
  <c r="AA299" i="135"/>
  <c r="AA298" i="135"/>
  <c r="AA297" i="135"/>
  <c r="AA296" i="135"/>
  <c r="AA295" i="135"/>
  <c r="AA294" i="135"/>
  <c r="AA293" i="135"/>
  <c r="AA292" i="135"/>
  <c r="AA291" i="135"/>
  <c r="M290" i="135"/>
  <c r="AA290" i="135" s="1"/>
  <c r="AA289" i="135"/>
  <c r="A289" i="135"/>
  <c r="AA288" i="135"/>
  <c r="AA287" i="135"/>
  <c r="AA286" i="135"/>
  <c r="AA285" i="135"/>
  <c r="AA284" i="135"/>
  <c r="AA283" i="135"/>
  <c r="AA282" i="135"/>
  <c r="A282" i="135"/>
  <c r="A283" i="135" s="1"/>
  <c r="A284" i="135" s="1"/>
  <c r="A285" i="135" s="1"/>
  <c r="A286" i="135" s="1"/>
  <c r="A287" i="135" s="1"/>
  <c r="A288" i="135" s="1"/>
  <c r="AA281" i="135"/>
  <c r="A281" i="135"/>
  <c r="AA280" i="135"/>
  <c r="A280" i="135"/>
  <c r="AA279" i="135"/>
  <c r="A278" i="135"/>
  <c r="A277" i="135"/>
  <c r="A276" i="135"/>
  <c r="Q275" i="135"/>
  <c r="M275" i="135"/>
  <c r="K275" i="135"/>
  <c r="A275" i="135"/>
  <c r="AA274" i="135"/>
  <c r="AA275" i="135" s="1"/>
  <c r="Q274" i="135"/>
  <c r="A273" i="135"/>
  <c r="M272" i="135"/>
  <c r="K272" i="135"/>
  <c r="AA271" i="135"/>
  <c r="AA270" i="135"/>
  <c r="AA269" i="135"/>
  <c r="A269" i="135"/>
  <c r="A270" i="135" s="1"/>
  <c r="A271" i="135" s="1"/>
  <c r="A272" i="135" s="1"/>
  <c r="AA268" i="135"/>
  <c r="A268" i="135"/>
  <c r="AA267" i="135"/>
  <c r="A267" i="135"/>
  <c r="AA266" i="135"/>
  <c r="A266" i="135"/>
  <c r="AA265" i="135"/>
  <c r="A264" i="135"/>
  <c r="K263" i="135"/>
  <c r="AA262" i="135"/>
  <c r="AA261" i="135"/>
  <c r="AA260" i="135"/>
  <c r="AA259" i="135"/>
  <c r="AA258" i="135"/>
  <c r="AA257" i="135"/>
  <c r="AA256" i="135"/>
  <c r="AA255" i="135"/>
  <c r="AA254" i="135"/>
  <c r="M253" i="135"/>
  <c r="M263" i="135" s="1"/>
  <c r="AA252" i="135"/>
  <c r="AA251" i="135"/>
  <c r="AA250" i="135"/>
  <c r="AA249" i="135"/>
  <c r="AA248" i="135"/>
  <c r="AA247" i="135"/>
  <c r="AA246" i="135"/>
  <c r="AA245" i="135"/>
  <c r="A245" i="135"/>
  <c r="A246" i="135" s="1"/>
  <c r="A247" i="135" s="1"/>
  <c r="A248" i="135" s="1"/>
  <c r="A249" i="135" s="1"/>
  <c r="A250" i="135" s="1"/>
  <c r="A251" i="135" s="1"/>
  <c r="A252" i="135" s="1"/>
  <c r="AA244" i="135"/>
  <c r="AA243" i="135"/>
  <c r="A243" i="135"/>
  <c r="A244" i="135" s="1"/>
  <c r="AA242" i="135"/>
  <c r="A241" i="135"/>
  <c r="A240" i="135"/>
  <c r="A239" i="135"/>
  <c r="AA238" i="135"/>
  <c r="Q238" i="135"/>
  <c r="M238" i="135"/>
  <c r="K238" i="135"/>
  <c r="A238" i="135"/>
  <c r="AA237" i="135"/>
  <c r="A236" i="135"/>
  <c r="M235" i="135"/>
  <c r="K235" i="135"/>
  <c r="AA234" i="135"/>
  <c r="AA233" i="135"/>
  <c r="AA232" i="135"/>
  <c r="AA231" i="135"/>
  <c r="AA230" i="135"/>
  <c r="A230" i="135"/>
  <c r="A231" i="135" s="1"/>
  <c r="A232" i="135" s="1"/>
  <c r="A233" i="135" s="1"/>
  <c r="A234" i="135" s="1"/>
  <c r="A235" i="135" s="1"/>
  <c r="AA229" i="135"/>
  <c r="A229" i="135"/>
  <c r="AA228" i="135"/>
  <c r="A227" i="135"/>
  <c r="K226" i="135"/>
  <c r="AA225" i="135"/>
  <c r="AA224" i="135"/>
  <c r="AA223" i="135"/>
  <c r="AA222" i="135"/>
  <c r="AA221" i="135"/>
  <c r="AA220" i="135"/>
  <c r="AA219" i="135"/>
  <c r="AA218" i="135"/>
  <c r="AA217" i="135"/>
  <c r="M216" i="135"/>
  <c r="AA216" i="135" s="1"/>
  <c r="AA215" i="135"/>
  <c r="AA214" i="135"/>
  <c r="AA213" i="135"/>
  <c r="AA212" i="135"/>
  <c r="AA211" i="135"/>
  <c r="AA210" i="135"/>
  <c r="AA209" i="135"/>
  <c r="A209" i="135"/>
  <c r="A210" i="135" s="1"/>
  <c r="A211" i="135" s="1"/>
  <c r="A212" i="135" s="1"/>
  <c r="A213" i="135" s="1"/>
  <c r="A214" i="135" s="1"/>
  <c r="A215" i="135" s="1"/>
  <c r="AA208" i="135"/>
  <c r="A208" i="135"/>
  <c r="AA207" i="135"/>
  <c r="A207" i="135"/>
  <c r="AA206" i="135"/>
  <c r="A206" i="135"/>
  <c r="AA205" i="135"/>
  <c r="A204" i="135"/>
  <c r="A203" i="135"/>
  <c r="A202" i="135"/>
  <c r="AA201" i="135"/>
  <c r="Q201" i="135"/>
  <c r="M201" i="135"/>
  <c r="K201" i="135"/>
  <c r="AA200" i="135"/>
  <c r="Q200" i="135"/>
  <c r="A199" i="135"/>
  <c r="M198" i="135"/>
  <c r="K198" i="135"/>
  <c r="AA197" i="135"/>
  <c r="AA196" i="135"/>
  <c r="AA195" i="135"/>
  <c r="AA194" i="135"/>
  <c r="AA193" i="135"/>
  <c r="AA192" i="135"/>
  <c r="AA198" i="135" s="1"/>
  <c r="A192" i="135"/>
  <c r="A193" i="135" s="1"/>
  <c r="A194" i="135" s="1"/>
  <c r="A195" i="135" s="1"/>
  <c r="A196" i="135" s="1"/>
  <c r="A197" i="135" s="1"/>
  <c r="A198" i="135" s="1"/>
  <c r="AA191" i="135"/>
  <c r="A191" i="135"/>
  <c r="AA190" i="135"/>
  <c r="A189" i="135"/>
  <c r="K188" i="135"/>
  <c r="AA187" i="135"/>
  <c r="AA186" i="135"/>
  <c r="AA185" i="135"/>
  <c r="AA184" i="135"/>
  <c r="AA183" i="135"/>
  <c r="AA182" i="135"/>
  <c r="AA181" i="135"/>
  <c r="AA180" i="135"/>
  <c r="AA179" i="135"/>
  <c r="M178" i="135"/>
  <c r="AA178" i="135" s="1"/>
  <c r="AA177" i="135"/>
  <c r="AA176" i="135"/>
  <c r="AA175" i="135"/>
  <c r="AA174" i="135"/>
  <c r="AA173" i="135"/>
  <c r="A173" i="135"/>
  <c r="A174" i="135" s="1"/>
  <c r="A175" i="135" s="1"/>
  <c r="A176" i="135" s="1"/>
  <c r="A177" i="135" s="1"/>
  <c r="AA172" i="135"/>
  <c r="AA171" i="135"/>
  <c r="AA170" i="135"/>
  <c r="AA169" i="135"/>
  <c r="AA168" i="135"/>
  <c r="A168" i="135"/>
  <c r="A169" i="135" s="1"/>
  <c r="A170" i="135" s="1"/>
  <c r="A171" i="135" s="1"/>
  <c r="A172" i="135" s="1"/>
  <c r="AA167" i="135"/>
  <c r="A166" i="135"/>
  <c r="A165" i="135"/>
  <c r="A164" i="135"/>
  <c r="Q163" i="135"/>
  <c r="M163" i="135"/>
  <c r="A163" i="135" s="1"/>
  <c r="K163" i="135"/>
  <c r="AA162" i="135"/>
  <c r="AA163" i="135" s="1"/>
  <c r="Q162" i="135"/>
  <c r="A161" i="135"/>
  <c r="M160" i="135"/>
  <c r="K160" i="135"/>
  <c r="AA159" i="135"/>
  <c r="AA158" i="135"/>
  <c r="AA157" i="135"/>
  <c r="AA156" i="135"/>
  <c r="AA155" i="135"/>
  <c r="AA154" i="135"/>
  <c r="A154" i="135"/>
  <c r="A155" i="135" s="1"/>
  <c r="A156" i="135" s="1"/>
  <c r="A157" i="135" s="1"/>
  <c r="A158" i="135" s="1"/>
  <c r="A159" i="135" s="1"/>
  <c r="A160" i="135" s="1"/>
  <c r="AA153" i="135"/>
  <c r="A153" i="135"/>
  <c r="AA152" i="135"/>
  <c r="AA160" i="135" s="1"/>
  <c r="A151" i="135"/>
  <c r="K150" i="135"/>
  <c r="AA149" i="135"/>
  <c r="AA148" i="135"/>
  <c r="AA147" i="135"/>
  <c r="AA146" i="135"/>
  <c r="AA145" i="135"/>
  <c r="AA144" i="135"/>
  <c r="AA143" i="135"/>
  <c r="AA142" i="135"/>
  <c r="AA141" i="135"/>
  <c r="M140" i="135"/>
  <c r="M150" i="135" s="1"/>
  <c r="AA139" i="135"/>
  <c r="AA138" i="135"/>
  <c r="AA137" i="135"/>
  <c r="AA136" i="135"/>
  <c r="AA135" i="135"/>
  <c r="AA134" i="135"/>
  <c r="AA133" i="135"/>
  <c r="AA132" i="135"/>
  <c r="A132" i="135"/>
  <c r="A133" i="135" s="1"/>
  <c r="A134" i="135" s="1"/>
  <c r="A135" i="135" s="1"/>
  <c r="A136" i="135" s="1"/>
  <c r="A137" i="135" s="1"/>
  <c r="A138" i="135" s="1"/>
  <c r="A139" i="135" s="1"/>
  <c r="AA131" i="135"/>
  <c r="A131" i="135"/>
  <c r="AA130" i="135"/>
  <c r="A130" i="135"/>
  <c r="AA129" i="135"/>
  <c r="A128" i="135"/>
  <c r="A127" i="135"/>
  <c r="A126" i="135"/>
  <c r="M125" i="135"/>
  <c r="K125" i="135"/>
  <c r="AA124" i="135"/>
  <c r="Q124" i="135"/>
  <c r="A124" i="135"/>
  <c r="AA123" i="135"/>
  <c r="AA125" i="135" s="1"/>
  <c r="Q123" i="135"/>
  <c r="Q125" i="135" s="1"/>
  <c r="A122" i="135"/>
  <c r="M121" i="135"/>
  <c r="K121" i="135"/>
  <c r="AA120" i="135"/>
  <c r="AA119" i="135"/>
  <c r="AA118" i="135"/>
  <c r="AA117" i="135"/>
  <c r="AA116" i="135"/>
  <c r="A116" i="135"/>
  <c r="A117" i="135" s="1"/>
  <c r="A118" i="135" s="1"/>
  <c r="A119" i="135" s="1"/>
  <c r="A120" i="135" s="1"/>
  <c r="A121" i="135" s="1"/>
  <c r="AA115" i="135"/>
  <c r="A115" i="135"/>
  <c r="AA114" i="135"/>
  <c r="A114" i="135"/>
  <c r="AA113" i="135"/>
  <c r="A112" i="135"/>
  <c r="K111" i="135"/>
  <c r="AA110" i="135"/>
  <c r="AA109" i="135"/>
  <c r="AA108" i="135"/>
  <c r="AA107" i="135"/>
  <c r="AA106" i="135"/>
  <c r="AA105" i="135"/>
  <c r="AA104" i="135"/>
  <c r="AA103" i="135"/>
  <c r="AA102" i="135"/>
  <c r="M101" i="135"/>
  <c r="M111" i="135" s="1"/>
  <c r="AA100" i="135"/>
  <c r="AA99" i="135"/>
  <c r="AA98" i="135"/>
  <c r="AA97" i="135"/>
  <c r="AA96" i="135"/>
  <c r="AA95" i="135"/>
  <c r="AA94" i="135"/>
  <c r="AA93" i="135"/>
  <c r="AA92" i="135"/>
  <c r="AA91" i="135"/>
  <c r="A91" i="135"/>
  <c r="A92" i="135" s="1"/>
  <c r="A93" i="135" s="1"/>
  <c r="A94" i="135" s="1"/>
  <c r="A95" i="135" s="1"/>
  <c r="A96" i="135" s="1"/>
  <c r="A97" i="135" s="1"/>
  <c r="A98" i="135" s="1"/>
  <c r="A99" i="135" s="1"/>
  <c r="A100" i="135" s="1"/>
  <c r="AA90" i="135"/>
  <c r="A89" i="135"/>
  <c r="A88" i="135"/>
  <c r="A87" i="135"/>
  <c r="M86" i="135"/>
  <c r="K86" i="135"/>
  <c r="A86" i="135" s="1"/>
  <c r="AA85" i="135"/>
  <c r="Q85" i="135"/>
  <c r="AA84" i="135"/>
  <c r="Q84" i="135"/>
  <c r="A84" i="135"/>
  <c r="A85" i="135" s="1"/>
  <c r="AA83" i="135"/>
  <c r="AA86" i="135" s="1"/>
  <c r="Q83" i="135"/>
  <c r="A82" i="135"/>
  <c r="M81" i="135"/>
  <c r="K81" i="135"/>
  <c r="AA80" i="135"/>
  <c r="AA79" i="135"/>
  <c r="AA78" i="135"/>
  <c r="AA77" i="135"/>
  <c r="AA76" i="135"/>
  <c r="AA75" i="135"/>
  <c r="AA74" i="135"/>
  <c r="A74" i="135"/>
  <c r="A75" i="135" s="1"/>
  <c r="A76" i="135" s="1"/>
  <c r="A77" i="135" s="1"/>
  <c r="A78" i="135" s="1"/>
  <c r="A79" i="135" s="1"/>
  <c r="A80" i="135" s="1"/>
  <c r="A81" i="135" s="1"/>
  <c r="AA73" i="135"/>
  <c r="A72" i="135"/>
  <c r="K71" i="135"/>
  <c r="AA70" i="135"/>
  <c r="AA69" i="135"/>
  <c r="AA68" i="135"/>
  <c r="AA67" i="135"/>
  <c r="AA66" i="135"/>
  <c r="AA65" i="135"/>
  <c r="AA64" i="135"/>
  <c r="AA63" i="135"/>
  <c r="AA62" i="135"/>
  <c r="AA61" i="135"/>
  <c r="M61" i="135"/>
  <c r="M71" i="135" s="1"/>
  <c r="AA60" i="135"/>
  <c r="AA59" i="135"/>
  <c r="AA58" i="135"/>
  <c r="AA57" i="135"/>
  <c r="AA56" i="135"/>
  <c r="AA55" i="135"/>
  <c r="AA54" i="135"/>
  <c r="AA53" i="135"/>
  <c r="AA52" i="135"/>
  <c r="AA51" i="135"/>
  <c r="A51" i="135"/>
  <c r="A52" i="135" s="1"/>
  <c r="A53" i="135" s="1"/>
  <c r="A54" i="135" s="1"/>
  <c r="A55" i="135" s="1"/>
  <c r="A56" i="135" s="1"/>
  <c r="A57" i="135" s="1"/>
  <c r="A58" i="135" s="1"/>
  <c r="A59" i="135" s="1"/>
  <c r="A60" i="135" s="1"/>
  <c r="AA50" i="135"/>
  <c r="A49" i="135"/>
  <c r="A48" i="135"/>
  <c r="A47" i="135"/>
  <c r="M46" i="135"/>
  <c r="K46" i="135"/>
  <c r="AA45" i="135"/>
  <c r="Q45" i="135"/>
  <c r="AA44" i="135"/>
  <c r="Q44" i="135"/>
  <c r="A44" i="135"/>
  <c r="A45" i="135" s="1"/>
  <c r="A46" i="135" s="1"/>
  <c r="AA43" i="135"/>
  <c r="AA46" i="135" s="1"/>
  <c r="Q43" i="135"/>
  <c r="Q46" i="135" s="1"/>
  <c r="A42" i="135"/>
  <c r="M41" i="135"/>
  <c r="M466" i="135" s="1"/>
  <c r="K41" i="135"/>
  <c r="AA40" i="135"/>
  <c r="AA39" i="135"/>
  <c r="AA38" i="135"/>
  <c r="AA37" i="135"/>
  <c r="AA36" i="135"/>
  <c r="AA35" i="135"/>
  <c r="A35" i="135"/>
  <c r="A36" i="135" s="1"/>
  <c r="A37" i="135" s="1"/>
  <c r="A38" i="135" s="1"/>
  <c r="A39" i="135" s="1"/>
  <c r="A40" i="135" s="1"/>
  <c r="AA34" i="135"/>
  <c r="A34" i="135"/>
  <c r="AA33" i="135"/>
  <c r="AA41" i="135" s="1"/>
  <c r="A32" i="135"/>
  <c r="K31" i="135"/>
  <c r="AA30" i="135"/>
  <c r="AA29" i="135"/>
  <c r="AA28" i="135"/>
  <c r="AA27" i="135"/>
  <c r="AA26" i="135"/>
  <c r="AA25" i="135"/>
  <c r="AA24" i="135"/>
  <c r="AA23" i="135"/>
  <c r="AA22" i="135"/>
  <c r="AA21" i="135"/>
  <c r="M21" i="135"/>
  <c r="M31" i="135" s="1"/>
  <c r="AA20" i="135"/>
  <c r="AA19" i="135"/>
  <c r="AA18" i="135"/>
  <c r="AA17" i="135"/>
  <c r="AA16" i="135"/>
  <c r="AA15" i="135"/>
  <c r="AA14" i="135"/>
  <c r="AA13" i="135"/>
  <c r="AA12" i="135"/>
  <c r="AA11" i="135"/>
  <c r="A11" i="135"/>
  <c r="A12" i="135" s="1"/>
  <c r="A13" i="135" s="1"/>
  <c r="A14" i="135" s="1"/>
  <c r="A15" i="135" s="1"/>
  <c r="A16" i="135" s="1"/>
  <c r="A17" i="135" s="1"/>
  <c r="A18" i="135" s="1"/>
  <c r="A19" i="135" s="1"/>
  <c r="A20" i="135" s="1"/>
  <c r="A21" i="135" s="1"/>
  <c r="A22" i="135" s="1"/>
  <c r="A23" i="135" s="1"/>
  <c r="A24" i="135" s="1"/>
  <c r="A25" i="135" s="1"/>
  <c r="A26" i="135" s="1"/>
  <c r="A27" i="135" s="1"/>
  <c r="A28" i="135" s="1"/>
  <c r="A29" i="135" s="1"/>
  <c r="A30" i="135" s="1"/>
  <c r="AA10" i="135"/>
  <c r="V500" i="134"/>
  <c r="U496" i="134"/>
  <c r="Q496" i="134"/>
  <c r="M496" i="134"/>
  <c r="K496" i="134"/>
  <c r="AA495" i="134"/>
  <c r="W495" i="134"/>
  <c r="U495" i="134"/>
  <c r="Q495" i="134"/>
  <c r="AA494" i="134"/>
  <c r="W494" i="134"/>
  <c r="U494" i="134"/>
  <c r="Q494" i="134"/>
  <c r="AA493" i="134"/>
  <c r="W493" i="134"/>
  <c r="U493" i="134"/>
  <c r="Q493" i="134"/>
  <c r="AA492" i="134"/>
  <c r="AA496" i="134" s="1"/>
  <c r="W492" i="134"/>
  <c r="W496" i="134" s="1"/>
  <c r="U492" i="134"/>
  <c r="Q492" i="134"/>
  <c r="AA490" i="134"/>
  <c r="M490" i="134"/>
  <c r="K490" i="134"/>
  <c r="AA489" i="134"/>
  <c r="U489" i="134"/>
  <c r="Q489" i="134"/>
  <c r="W489" i="134" s="1"/>
  <c r="AA488" i="134"/>
  <c r="U488" i="134"/>
  <c r="Q488" i="134"/>
  <c r="W488" i="134" s="1"/>
  <c r="AA487" i="134"/>
  <c r="U487" i="134"/>
  <c r="Q487" i="134"/>
  <c r="AA486" i="134"/>
  <c r="U486" i="134"/>
  <c r="Q486" i="134"/>
  <c r="AA485" i="134"/>
  <c r="U485" i="134"/>
  <c r="Q485" i="134"/>
  <c r="W485" i="134" s="1"/>
  <c r="AA484" i="134"/>
  <c r="U484" i="134"/>
  <c r="Q484" i="134"/>
  <c r="U482" i="134"/>
  <c r="Q482" i="134"/>
  <c r="M482" i="134"/>
  <c r="K482" i="134"/>
  <c r="AA481" i="134"/>
  <c r="W481" i="134"/>
  <c r="U481" i="134"/>
  <c r="Q481" i="134"/>
  <c r="AA480" i="134"/>
  <c r="W480" i="134"/>
  <c r="U480" i="134"/>
  <c r="Q480" i="134"/>
  <c r="AA479" i="134"/>
  <c r="W479" i="134"/>
  <c r="U479" i="134"/>
  <c r="Q479" i="134"/>
  <c r="AA478" i="134"/>
  <c r="W478" i="134"/>
  <c r="U478" i="134"/>
  <c r="Q478" i="134"/>
  <c r="AA477" i="134"/>
  <c r="W477" i="134"/>
  <c r="U477" i="134"/>
  <c r="Q477" i="134"/>
  <c r="AA476" i="134"/>
  <c r="W476" i="134"/>
  <c r="U476" i="134"/>
  <c r="Q476" i="134"/>
  <c r="AA475" i="134"/>
  <c r="W475" i="134"/>
  <c r="U475" i="134"/>
  <c r="Q475" i="134"/>
  <c r="AA474" i="134"/>
  <c r="W474" i="134"/>
  <c r="U474" i="134"/>
  <c r="Q474" i="134"/>
  <c r="AA473" i="134"/>
  <c r="W473" i="134"/>
  <c r="U473" i="134"/>
  <c r="Q473" i="134"/>
  <c r="AA472" i="134"/>
  <c r="W472" i="134"/>
  <c r="U472" i="134"/>
  <c r="Q472" i="134"/>
  <c r="AA471" i="134"/>
  <c r="W471" i="134"/>
  <c r="U471" i="134"/>
  <c r="Q471" i="134"/>
  <c r="AA470" i="134"/>
  <c r="W470" i="134"/>
  <c r="U470" i="134"/>
  <c r="Q470" i="134"/>
  <c r="AA469" i="134"/>
  <c r="W469" i="134"/>
  <c r="U469" i="134"/>
  <c r="Q469" i="134"/>
  <c r="AA468" i="134"/>
  <c r="W468" i="134"/>
  <c r="U468" i="134"/>
  <c r="Q468" i="134"/>
  <c r="AA467" i="134"/>
  <c r="W467" i="134"/>
  <c r="U467" i="134"/>
  <c r="Q467" i="134"/>
  <c r="AA466" i="134"/>
  <c r="W466" i="134"/>
  <c r="U466" i="134"/>
  <c r="Q466" i="134"/>
  <c r="AA465" i="134"/>
  <c r="W465" i="134"/>
  <c r="U465" i="134"/>
  <c r="Q465" i="134"/>
  <c r="AA464" i="134"/>
  <c r="W464" i="134"/>
  <c r="U464" i="134"/>
  <c r="Q464" i="134"/>
  <c r="AA463" i="134"/>
  <c r="W463" i="134"/>
  <c r="U463" i="134"/>
  <c r="Q463" i="134"/>
  <c r="AA462" i="134"/>
  <c r="W462" i="134"/>
  <c r="U462" i="134"/>
  <c r="Q462" i="134"/>
  <c r="AA461" i="134"/>
  <c r="W461" i="134"/>
  <c r="U461" i="134"/>
  <c r="Q461" i="134"/>
  <c r="AA460" i="134"/>
  <c r="W460" i="134"/>
  <c r="U460" i="134"/>
  <c r="Q460" i="134"/>
  <c r="AA459" i="134"/>
  <c r="W459" i="134"/>
  <c r="U459" i="134"/>
  <c r="Q459" i="134"/>
  <c r="AA458" i="134"/>
  <c r="W458" i="134"/>
  <c r="U458" i="134"/>
  <c r="Q458" i="134"/>
  <c r="AA457" i="134"/>
  <c r="W457" i="134"/>
  <c r="U457" i="134"/>
  <c r="Q457" i="134"/>
  <c r="AA456" i="134"/>
  <c r="W456" i="134"/>
  <c r="U456" i="134"/>
  <c r="Q456" i="134"/>
  <c r="AA455" i="134"/>
  <c r="W455" i="134"/>
  <c r="U455" i="134"/>
  <c r="Q455" i="134"/>
  <c r="AA454" i="134"/>
  <c r="W454" i="134"/>
  <c r="U454" i="134"/>
  <c r="Q454" i="134"/>
  <c r="AA453" i="134"/>
  <c r="AA482" i="134" s="1"/>
  <c r="W453" i="134"/>
  <c r="W482" i="134" s="1"/>
  <c r="U453" i="134"/>
  <c r="Q453" i="134"/>
  <c r="AA449" i="134"/>
  <c r="M449" i="134"/>
  <c r="K449" i="134"/>
  <c r="AA448" i="134"/>
  <c r="U448" i="134"/>
  <c r="Q448" i="134"/>
  <c r="AA447" i="134"/>
  <c r="U447" i="134"/>
  <c r="Q447" i="134"/>
  <c r="AA446" i="134"/>
  <c r="U446" i="134"/>
  <c r="Q446" i="134"/>
  <c r="W446" i="134" s="1"/>
  <c r="AA445" i="134"/>
  <c r="U445" i="134"/>
  <c r="Q445" i="134"/>
  <c r="U443" i="134"/>
  <c r="Q443" i="134"/>
  <c r="M443" i="134"/>
  <c r="K443" i="134"/>
  <c r="AA442" i="134"/>
  <c r="W442" i="134"/>
  <c r="U442" i="134"/>
  <c r="Q442" i="134"/>
  <c r="AA441" i="134"/>
  <c r="W441" i="134"/>
  <c r="U441" i="134"/>
  <c r="Q441" i="134"/>
  <c r="AA440" i="134"/>
  <c r="W440" i="134"/>
  <c r="U440" i="134"/>
  <c r="Q440" i="134"/>
  <c r="AA439" i="134"/>
  <c r="W439" i="134"/>
  <c r="U439" i="134"/>
  <c r="Q439" i="134"/>
  <c r="AA438" i="134"/>
  <c r="W438" i="134"/>
  <c r="U438" i="134"/>
  <c r="Q438" i="134"/>
  <c r="AA437" i="134"/>
  <c r="AA443" i="134" s="1"/>
  <c r="W437" i="134"/>
  <c r="W443" i="134" s="1"/>
  <c r="U437" i="134"/>
  <c r="Q437" i="134"/>
  <c r="AA435" i="134"/>
  <c r="M435" i="134"/>
  <c r="K435" i="134"/>
  <c r="AA434" i="134"/>
  <c r="U434" i="134"/>
  <c r="Q434" i="134"/>
  <c r="AA433" i="134"/>
  <c r="U433" i="134"/>
  <c r="Q433" i="134"/>
  <c r="AA432" i="134"/>
  <c r="U432" i="134"/>
  <c r="Q432" i="134"/>
  <c r="W432" i="134" s="1"/>
  <c r="AA431" i="134"/>
  <c r="U431" i="134"/>
  <c r="Q431" i="134"/>
  <c r="W431" i="134" s="1"/>
  <c r="AA430" i="134"/>
  <c r="U430" i="134"/>
  <c r="Q430" i="134"/>
  <c r="AA429" i="134"/>
  <c r="U429" i="134"/>
  <c r="Q429" i="134"/>
  <c r="AA428" i="134"/>
  <c r="U428" i="134"/>
  <c r="Q428" i="134"/>
  <c r="W428" i="134" s="1"/>
  <c r="AA427" i="134"/>
  <c r="U427" i="134"/>
  <c r="Q427" i="134"/>
  <c r="W427" i="134" s="1"/>
  <c r="AA426" i="134"/>
  <c r="U426" i="134"/>
  <c r="Q426" i="134"/>
  <c r="AA425" i="134"/>
  <c r="U425" i="134"/>
  <c r="Q425" i="134"/>
  <c r="AA424" i="134"/>
  <c r="U424" i="134"/>
  <c r="Q424" i="134"/>
  <c r="W424" i="134" s="1"/>
  <c r="AA423" i="134"/>
  <c r="U423" i="134"/>
  <c r="Q423" i="134"/>
  <c r="W423" i="134" s="1"/>
  <c r="AA422" i="134"/>
  <c r="U422" i="134"/>
  <c r="Q422" i="134"/>
  <c r="AA421" i="134"/>
  <c r="U421" i="134"/>
  <c r="Q421" i="134"/>
  <c r="AA420" i="134"/>
  <c r="U420" i="134"/>
  <c r="Q420" i="134"/>
  <c r="W420" i="134" s="1"/>
  <c r="AA419" i="134"/>
  <c r="U419" i="134"/>
  <c r="Q419" i="134"/>
  <c r="W419" i="134" s="1"/>
  <c r="AA418" i="134"/>
  <c r="U418" i="134"/>
  <c r="Q418" i="134"/>
  <c r="AA417" i="134"/>
  <c r="U417" i="134"/>
  <c r="Q417" i="134"/>
  <c r="AA416" i="134"/>
  <c r="U416" i="134"/>
  <c r="Q416" i="134"/>
  <c r="W416" i="134" s="1"/>
  <c r="AA415" i="134"/>
  <c r="U415" i="134"/>
  <c r="Q415" i="134"/>
  <c r="W415" i="134" s="1"/>
  <c r="AA414" i="134"/>
  <c r="U414" i="134"/>
  <c r="Q414" i="134"/>
  <c r="AA413" i="134"/>
  <c r="U413" i="134"/>
  <c r="Q413" i="134"/>
  <c r="AA412" i="134"/>
  <c r="U412" i="134"/>
  <c r="Q412" i="134"/>
  <c r="W412" i="134" s="1"/>
  <c r="AA411" i="134"/>
  <c r="U411" i="134"/>
  <c r="Q411" i="134"/>
  <c r="W411" i="134" s="1"/>
  <c r="AA410" i="134"/>
  <c r="U410" i="134"/>
  <c r="Q410" i="134"/>
  <c r="AA409" i="134"/>
  <c r="U409" i="134"/>
  <c r="Q409" i="134"/>
  <c r="AA408" i="134"/>
  <c r="U408" i="134"/>
  <c r="Q408" i="134"/>
  <c r="W408" i="134" s="1"/>
  <c r="AA407" i="134"/>
  <c r="U407" i="134"/>
  <c r="Q407" i="134"/>
  <c r="W407" i="134" s="1"/>
  <c r="AA406" i="134"/>
  <c r="U406" i="134"/>
  <c r="Q406" i="134"/>
  <c r="U402" i="134"/>
  <c r="Q402" i="134"/>
  <c r="M402" i="134"/>
  <c r="K402" i="134"/>
  <c r="AA401" i="134"/>
  <c r="AA402" i="134" s="1"/>
  <c r="W401" i="134"/>
  <c r="W402" i="134" s="1"/>
  <c r="U401" i="134"/>
  <c r="Q401" i="134"/>
  <c r="AA399" i="134"/>
  <c r="M399" i="134"/>
  <c r="K399" i="134"/>
  <c r="AA398" i="134"/>
  <c r="U398" i="134"/>
  <c r="Q398" i="134"/>
  <c r="AA397" i="134"/>
  <c r="U397" i="134"/>
  <c r="Q397" i="134"/>
  <c r="W397" i="134" s="1"/>
  <c r="AA396" i="134"/>
  <c r="U396" i="134"/>
  <c r="Q396" i="134"/>
  <c r="W396" i="134" s="1"/>
  <c r="AA395" i="134"/>
  <c r="U395" i="134"/>
  <c r="Q395" i="134"/>
  <c r="AA394" i="134"/>
  <c r="U394" i="134"/>
  <c r="Q394" i="134"/>
  <c r="AA393" i="134"/>
  <c r="U393" i="134"/>
  <c r="Q393" i="134"/>
  <c r="U391" i="134"/>
  <c r="Q391" i="134"/>
  <c r="M391" i="134"/>
  <c r="K391" i="134"/>
  <c r="AA390" i="134"/>
  <c r="W390" i="134"/>
  <c r="U390" i="134"/>
  <c r="Q390" i="134"/>
  <c r="AA389" i="134"/>
  <c r="W389" i="134"/>
  <c r="U389" i="134"/>
  <c r="Q389" i="134"/>
  <c r="AA388" i="134"/>
  <c r="W388" i="134"/>
  <c r="U388" i="134"/>
  <c r="Q388" i="134"/>
  <c r="AA387" i="134"/>
  <c r="W387" i="134"/>
  <c r="U387" i="134"/>
  <c r="Q387" i="134"/>
  <c r="AA386" i="134"/>
  <c r="W386" i="134"/>
  <c r="U386" i="134"/>
  <c r="Q386" i="134"/>
  <c r="AA385" i="134"/>
  <c r="W385" i="134"/>
  <c r="U385" i="134"/>
  <c r="Q385" i="134"/>
  <c r="AA384" i="134"/>
  <c r="W384" i="134"/>
  <c r="U384" i="134"/>
  <c r="Q384" i="134"/>
  <c r="AA383" i="134"/>
  <c r="W383" i="134"/>
  <c r="U383" i="134"/>
  <c r="Q383" i="134"/>
  <c r="AA382" i="134"/>
  <c r="W382" i="134"/>
  <c r="U382" i="134"/>
  <c r="Q382" i="134"/>
  <c r="AA381" i="134"/>
  <c r="W381" i="134"/>
  <c r="U381" i="134"/>
  <c r="Q381" i="134"/>
  <c r="AA380" i="134"/>
  <c r="W380" i="134"/>
  <c r="U380" i="134"/>
  <c r="Q380" i="134"/>
  <c r="AA379" i="134"/>
  <c r="W379" i="134"/>
  <c r="U379" i="134"/>
  <c r="Q379" i="134"/>
  <c r="AA378" i="134"/>
  <c r="W378" i="134"/>
  <c r="U378" i="134"/>
  <c r="Q378" i="134"/>
  <c r="AA377" i="134"/>
  <c r="W377" i="134"/>
  <c r="U377" i="134"/>
  <c r="Q377" i="134"/>
  <c r="AA376" i="134"/>
  <c r="W376" i="134"/>
  <c r="U376" i="134"/>
  <c r="Q376" i="134"/>
  <c r="AA375" i="134"/>
  <c r="W375" i="134"/>
  <c r="U375" i="134"/>
  <c r="Q375" i="134"/>
  <c r="AA374" i="134"/>
  <c r="W374" i="134"/>
  <c r="U374" i="134"/>
  <c r="Q374" i="134"/>
  <c r="AA373" i="134"/>
  <c r="W373" i="134"/>
  <c r="U373" i="134"/>
  <c r="Q373" i="134"/>
  <c r="AA372" i="134"/>
  <c r="W372" i="134"/>
  <c r="U372" i="134"/>
  <c r="Q372" i="134"/>
  <c r="AA371" i="134"/>
  <c r="AA391" i="134" s="1"/>
  <c r="W371" i="134"/>
  <c r="W391" i="134" s="1"/>
  <c r="U371" i="134"/>
  <c r="Q371" i="134"/>
  <c r="AA367" i="134"/>
  <c r="M367" i="134"/>
  <c r="K367" i="134"/>
  <c r="AA366" i="134"/>
  <c r="U366" i="134"/>
  <c r="U367" i="134" s="1"/>
  <c r="Q366" i="134"/>
  <c r="U364" i="134"/>
  <c r="Q364" i="134"/>
  <c r="M364" i="134"/>
  <c r="K364" i="134"/>
  <c r="AA363" i="134"/>
  <c r="W363" i="134"/>
  <c r="U363" i="134"/>
  <c r="Q363" i="134"/>
  <c r="AA362" i="134"/>
  <c r="W362" i="134"/>
  <c r="U362" i="134"/>
  <c r="Q362" i="134"/>
  <c r="AA361" i="134"/>
  <c r="W361" i="134"/>
  <c r="U361" i="134"/>
  <c r="Q361" i="134"/>
  <c r="AA360" i="134"/>
  <c r="W360" i="134"/>
  <c r="U360" i="134"/>
  <c r="Q360" i="134"/>
  <c r="AA359" i="134"/>
  <c r="W359" i="134"/>
  <c r="U359" i="134"/>
  <c r="Q359" i="134"/>
  <c r="AA358" i="134"/>
  <c r="W358" i="134"/>
  <c r="U358" i="134"/>
  <c r="Q358" i="134"/>
  <c r="AA357" i="134"/>
  <c r="AA364" i="134" s="1"/>
  <c r="W357" i="134"/>
  <c r="W364" i="134" s="1"/>
  <c r="U357" i="134"/>
  <c r="Q357" i="134"/>
  <c r="AA355" i="134"/>
  <c r="M355" i="134"/>
  <c r="K355" i="134"/>
  <c r="AA354" i="134"/>
  <c r="U354" i="134"/>
  <c r="Q354" i="134"/>
  <c r="AA353" i="134"/>
  <c r="U353" i="134"/>
  <c r="Q353" i="134"/>
  <c r="AA352" i="134"/>
  <c r="U352" i="134"/>
  <c r="W352" i="134" s="1"/>
  <c r="Q352" i="134"/>
  <c r="AA351" i="134"/>
  <c r="U351" i="134"/>
  <c r="W351" i="134" s="1"/>
  <c r="Q351" i="134"/>
  <c r="AA350" i="134"/>
  <c r="U350" i="134"/>
  <c r="W350" i="134" s="1"/>
  <c r="Q350" i="134"/>
  <c r="AA349" i="134"/>
  <c r="U349" i="134"/>
  <c r="W349" i="134" s="1"/>
  <c r="Q349" i="134"/>
  <c r="AA348" i="134"/>
  <c r="U348" i="134"/>
  <c r="W348" i="134" s="1"/>
  <c r="Q348" i="134"/>
  <c r="AA347" i="134"/>
  <c r="U347" i="134"/>
  <c r="W347" i="134" s="1"/>
  <c r="Q347" i="134"/>
  <c r="AA346" i="134"/>
  <c r="U346" i="134"/>
  <c r="W346" i="134" s="1"/>
  <c r="Q346" i="134"/>
  <c r="AA345" i="134"/>
  <c r="U345" i="134"/>
  <c r="W345" i="134" s="1"/>
  <c r="Q345" i="134"/>
  <c r="AA344" i="134"/>
  <c r="U344" i="134"/>
  <c r="W344" i="134" s="1"/>
  <c r="Q344" i="134"/>
  <c r="AA343" i="134"/>
  <c r="U343" i="134"/>
  <c r="W343" i="134" s="1"/>
  <c r="Q343" i="134"/>
  <c r="AA342" i="134"/>
  <c r="U342" i="134"/>
  <c r="W342" i="134" s="1"/>
  <c r="Q342" i="134"/>
  <c r="AA341" i="134"/>
  <c r="U341" i="134"/>
  <c r="W341" i="134" s="1"/>
  <c r="Q341" i="134"/>
  <c r="AA340" i="134"/>
  <c r="U340" i="134"/>
  <c r="W340" i="134" s="1"/>
  <c r="Q340" i="134"/>
  <c r="AA339" i="134"/>
  <c r="U339" i="134"/>
  <c r="W339" i="134" s="1"/>
  <c r="Q339" i="134"/>
  <c r="AA338" i="134"/>
  <c r="U338" i="134"/>
  <c r="W338" i="134" s="1"/>
  <c r="Q338" i="134"/>
  <c r="AA337" i="134"/>
  <c r="U337" i="134"/>
  <c r="W337" i="134" s="1"/>
  <c r="Q337" i="134"/>
  <c r="AA336" i="134"/>
  <c r="U336" i="134"/>
  <c r="W336" i="134" s="1"/>
  <c r="Q336" i="134"/>
  <c r="AA335" i="134"/>
  <c r="U335" i="134"/>
  <c r="U355" i="134" s="1"/>
  <c r="Q335" i="134"/>
  <c r="Q355" i="134" s="1"/>
  <c r="W331" i="134"/>
  <c r="U331" i="134"/>
  <c r="M331" i="134"/>
  <c r="K331" i="134"/>
  <c r="AA330" i="134"/>
  <c r="AA331" i="134" s="1"/>
  <c r="W330" i="134"/>
  <c r="U330" i="134"/>
  <c r="Q330" i="134"/>
  <c r="Q331" i="134" s="1"/>
  <c r="AA328" i="134"/>
  <c r="Q328" i="134"/>
  <c r="M328" i="134"/>
  <c r="O11" i="133" s="1"/>
  <c r="K328" i="134"/>
  <c r="AA327" i="134"/>
  <c r="U327" i="134"/>
  <c r="W327" i="134" s="1"/>
  <c r="Q327" i="134"/>
  <c r="AA326" i="134"/>
  <c r="U326" i="134"/>
  <c r="W326" i="134" s="1"/>
  <c r="Q326" i="134"/>
  <c r="AA325" i="134"/>
  <c r="U325" i="134"/>
  <c r="W325" i="134" s="1"/>
  <c r="Q325" i="134"/>
  <c r="AA324" i="134"/>
  <c r="U324" i="134"/>
  <c r="W324" i="134" s="1"/>
  <c r="Q324" i="134"/>
  <c r="AA323" i="134"/>
  <c r="U323" i="134"/>
  <c r="W323" i="134" s="1"/>
  <c r="Q323" i="134"/>
  <c r="AA322" i="134"/>
  <c r="U322" i="134"/>
  <c r="W322" i="134" s="1"/>
  <c r="Q322" i="134"/>
  <c r="AA321" i="134"/>
  <c r="U321" i="134"/>
  <c r="W321" i="134" s="1"/>
  <c r="W328" i="134" s="1"/>
  <c r="Q321" i="134"/>
  <c r="U319" i="134"/>
  <c r="M319" i="134"/>
  <c r="K319" i="134"/>
  <c r="AA318" i="134"/>
  <c r="U318" i="134"/>
  <c r="Q318" i="134"/>
  <c r="W318" i="134" s="1"/>
  <c r="AA317" i="134"/>
  <c r="U317" i="134"/>
  <c r="Q317" i="134"/>
  <c r="W317" i="134" s="1"/>
  <c r="AA316" i="134"/>
  <c r="U316" i="134"/>
  <c r="Q316" i="134"/>
  <c r="W316" i="134" s="1"/>
  <c r="AA315" i="134"/>
  <c r="U315" i="134"/>
  <c r="Q315" i="134"/>
  <c r="W315" i="134" s="1"/>
  <c r="AA314" i="134"/>
  <c r="U314" i="134"/>
  <c r="Q314" i="134"/>
  <c r="W314" i="134" s="1"/>
  <c r="AA313" i="134"/>
  <c r="U313" i="134"/>
  <c r="Q313" i="134"/>
  <c r="W313" i="134" s="1"/>
  <c r="AA312" i="134"/>
  <c r="U312" i="134"/>
  <c r="Q312" i="134"/>
  <c r="W312" i="134" s="1"/>
  <c r="AA311" i="134"/>
  <c r="U311" i="134"/>
  <c r="Q311" i="134"/>
  <c r="W311" i="134" s="1"/>
  <c r="AA310" i="134"/>
  <c r="U310" i="134"/>
  <c r="Q310" i="134"/>
  <c r="W310" i="134" s="1"/>
  <c r="AA309" i="134"/>
  <c r="U309" i="134"/>
  <c r="Q309" i="134"/>
  <c r="W309" i="134" s="1"/>
  <c r="AA308" i="134"/>
  <c r="U308" i="134"/>
  <c r="Q308" i="134"/>
  <c r="W308" i="134" s="1"/>
  <c r="AA307" i="134"/>
  <c r="U307" i="134"/>
  <c r="Q307" i="134"/>
  <c r="W307" i="134" s="1"/>
  <c r="AA306" i="134"/>
  <c r="U306" i="134"/>
  <c r="Q306" i="134"/>
  <c r="W306" i="134" s="1"/>
  <c r="AA305" i="134"/>
  <c r="U305" i="134"/>
  <c r="Q305" i="134"/>
  <c r="W305" i="134" s="1"/>
  <c r="AA304" i="134"/>
  <c r="U304" i="134"/>
  <c r="Q304" i="134"/>
  <c r="W304" i="134" s="1"/>
  <c r="AA303" i="134"/>
  <c r="U303" i="134"/>
  <c r="Q303" i="134"/>
  <c r="W303" i="134" s="1"/>
  <c r="AA302" i="134"/>
  <c r="U302" i="134"/>
  <c r="Q302" i="134"/>
  <c r="W302" i="134" s="1"/>
  <c r="AA301" i="134"/>
  <c r="U301" i="134"/>
  <c r="Q301" i="134"/>
  <c r="W301" i="134" s="1"/>
  <c r="AA300" i="134"/>
  <c r="U300" i="134"/>
  <c r="Q300" i="134"/>
  <c r="W300" i="134" s="1"/>
  <c r="AA299" i="134"/>
  <c r="AA319" i="134" s="1"/>
  <c r="U299" i="134"/>
  <c r="Q299" i="134"/>
  <c r="Q319" i="134" s="1"/>
  <c r="AA295" i="134"/>
  <c r="Q295" i="134"/>
  <c r="M295" i="134"/>
  <c r="O12" i="133" s="1"/>
  <c r="K295" i="134"/>
  <c r="AA294" i="134"/>
  <c r="U294" i="134"/>
  <c r="W294" i="134" s="1"/>
  <c r="W295" i="134" s="1"/>
  <c r="Q294" i="134"/>
  <c r="U292" i="134"/>
  <c r="M292" i="134"/>
  <c r="K292" i="134"/>
  <c r="AA291" i="134"/>
  <c r="U291" i="134"/>
  <c r="Q291" i="134"/>
  <c r="W291" i="134" s="1"/>
  <c r="AA290" i="134"/>
  <c r="U290" i="134"/>
  <c r="Q290" i="134"/>
  <c r="W290" i="134" s="1"/>
  <c r="AA289" i="134"/>
  <c r="U289" i="134"/>
  <c r="Q289" i="134"/>
  <c r="W289" i="134" s="1"/>
  <c r="AA288" i="134"/>
  <c r="U288" i="134"/>
  <c r="Q288" i="134"/>
  <c r="W288" i="134" s="1"/>
  <c r="AA287" i="134"/>
  <c r="U287" i="134"/>
  <c r="Q287" i="134"/>
  <c r="W287" i="134" s="1"/>
  <c r="AA286" i="134"/>
  <c r="U286" i="134"/>
  <c r="Q286" i="134"/>
  <c r="W286" i="134" s="1"/>
  <c r="AA285" i="134"/>
  <c r="AA292" i="134" s="1"/>
  <c r="U285" i="134"/>
  <c r="Q285" i="134"/>
  <c r="Q292" i="134" s="1"/>
  <c r="AA283" i="134"/>
  <c r="Q283" i="134"/>
  <c r="M283" i="134"/>
  <c r="U283" i="134" s="1"/>
  <c r="K283" i="134"/>
  <c r="AA282" i="134"/>
  <c r="U282" i="134"/>
  <c r="W282" i="134" s="1"/>
  <c r="Q282" i="134"/>
  <c r="AA281" i="134"/>
  <c r="U281" i="134"/>
  <c r="W281" i="134" s="1"/>
  <c r="Q281" i="134"/>
  <c r="AA280" i="134"/>
  <c r="U280" i="134"/>
  <c r="W280" i="134" s="1"/>
  <c r="Q280" i="134"/>
  <c r="AA279" i="134"/>
  <c r="U279" i="134"/>
  <c r="W279" i="134" s="1"/>
  <c r="Q279" i="134"/>
  <c r="AA278" i="134"/>
  <c r="U278" i="134"/>
  <c r="W278" i="134" s="1"/>
  <c r="Q278" i="134"/>
  <c r="AA277" i="134"/>
  <c r="U277" i="134"/>
  <c r="W277" i="134" s="1"/>
  <c r="Q277" i="134"/>
  <c r="AA276" i="134"/>
  <c r="U276" i="134"/>
  <c r="W276" i="134" s="1"/>
  <c r="Q276" i="134"/>
  <c r="AA275" i="134"/>
  <c r="U275" i="134"/>
  <c r="W275" i="134" s="1"/>
  <c r="Q275" i="134"/>
  <c r="AA274" i="134"/>
  <c r="U274" i="134"/>
  <c r="W274" i="134" s="1"/>
  <c r="Q274" i="134"/>
  <c r="AA273" i="134"/>
  <c r="U273" i="134"/>
  <c r="W273" i="134" s="1"/>
  <c r="Q273" i="134"/>
  <c r="AA272" i="134"/>
  <c r="U272" i="134"/>
  <c r="W272" i="134" s="1"/>
  <c r="Q272" i="134"/>
  <c r="AA271" i="134"/>
  <c r="U271" i="134"/>
  <c r="W271" i="134" s="1"/>
  <c r="Q271" i="134"/>
  <c r="AA270" i="134"/>
  <c r="U270" i="134"/>
  <c r="W270" i="134" s="1"/>
  <c r="Q270" i="134"/>
  <c r="AA269" i="134"/>
  <c r="U269" i="134"/>
  <c r="W269" i="134" s="1"/>
  <c r="Q269" i="134"/>
  <c r="AA268" i="134"/>
  <c r="U268" i="134"/>
  <c r="W268" i="134" s="1"/>
  <c r="Q268" i="134"/>
  <c r="AA267" i="134"/>
  <c r="U267" i="134"/>
  <c r="W267" i="134" s="1"/>
  <c r="Q267" i="134"/>
  <c r="AA266" i="134"/>
  <c r="U266" i="134"/>
  <c r="W266" i="134" s="1"/>
  <c r="Q266" i="134"/>
  <c r="AA265" i="134"/>
  <c r="U265" i="134"/>
  <c r="W265" i="134" s="1"/>
  <c r="Q265" i="134"/>
  <c r="AA264" i="134"/>
  <c r="U264" i="134"/>
  <c r="W264" i="134" s="1"/>
  <c r="Q264" i="134"/>
  <c r="AA263" i="134"/>
  <c r="U263" i="134"/>
  <c r="W263" i="134" s="1"/>
  <c r="Q263" i="134"/>
  <c r="U259" i="134"/>
  <c r="Q259" i="134"/>
  <c r="M259" i="134"/>
  <c r="K259" i="134"/>
  <c r="AA258" i="134"/>
  <c r="AA259" i="134" s="1"/>
  <c r="U258" i="134"/>
  <c r="W258" i="134" s="1"/>
  <c r="W259" i="134" s="1"/>
  <c r="AA256" i="134"/>
  <c r="M256" i="134"/>
  <c r="K256" i="134"/>
  <c r="AA255" i="134"/>
  <c r="U255" i="134"/>
  <c r="Q255" i="134"/>
  <c r="W255" i="134" s="1"/>
  <c r="AA254" i="134"/>
  <c r="U254" i="134"/>
  <c r="Q254" i="134"/>
  <c r="W254" i="134" s="1"/>
  <c r="AA253" i="134"/>
  <c r="U253" i="134"/>
  <c r="Q253" i="134"/>
  <c r="W253" i="134" s="1"/>
  <c r="AA252" i="134"/>
  <c r="U252" i="134"/>
  <c r="Q252" i="134"/>
  <c r="W252" i="134" s="1"/>
  <c r="AA251" i="134"/>
  <c r="U251" i="134"/>
  <c r="Q251" i="134"/>
  <c r="W251" i="134" s="1"/>
  <c r="AA250" i="134"/>
  <c r="U250" i="134"/>
  <c r="Q250" i="134"/>
  <c r="W250" i="134" s="1"/>
  <c r="AA249" i="134"/>
  <c r="U249" i="134"/>
  <c r="U256" i="134" s="1"/>
  <c r="Q249" i="134"/>
  <c r="Q256" i="134" s="1"/>
  <c r="U247" i="134"/>
  <c r="Q247" i="134"/>
  <c r="M247" i="134"/>
  <c r="K247" i="134"/>
  <c r="AA246" i="134"/>
  <c r="W246" i="134"/>
  <c r="U246" i="134"/>
  <c r="Q246" i="134"/>
  <c r="AA245" i="134"/>
  <c r="W245" i="134"/>
  <c r="U245" i="134"/>
  <c r="Q245" i="134"/>
  <c r="AA244" i="134"/>
  <c r="W244" i="134"/>
  <c r="U244" i="134"/>
  <c r="Q244" i="134"/>
  <c r="AA243" i="134"/>
  <c r="W243" i="134"/>
  <c r="U243" i="134"/>
  <c r="Q243" i="134"/>
  <c r="AA242" i="134"/>
  <c r="W242" i="134"/>
  <c r="U242" i="134"/>
  <c r="Q242" i="134"/>
  <c r="AA241" i="134"/>
  <c r="W241" i="134"/>
  <c r="U241" i="134"/>
  <c r="Q241" i="134"/>
  <c r="AA240" i="134"/>
  <c r="W240" i="134"/>
  <c r="U240" i="134"/>
  <c r="Q240" i="134"/>
  <c r="AA239" i="134"/>
  <c r="W239" i="134"/>
  <c r="U239" i="134"/>
  <c r="Q239" i="134"/>
  <c r="AA238" i="134"/>
  <c r="W238" i="134"/>
  <c r="U238" i="134"/>
  <c r="Q238" i="134"/>
  <c r="AA237" i="134"/>
  <c r="W237" i="134"/>
  <c r="U237" i="134"/>
  <c r="Q237" i="134"/>
  <c r="AA236" i="134"/>
  <c r="W236" i="134"/>
  <c r="U236" i="134"/>
  <c r="Q236" i="134"/>
  <c r="AA235" i="134"/>
  <c r="W235" i="134"/>
  <c r="U235" i="134"/>
  <c r="Q235" i="134"/>
  <c r="AA234" i="134"/>
  <c r="W234" i="134"/>
  <c r="U234" i="134"/>
  <c r="Q234" i="134"/>
  <c r="AA233" i="134"/>
  <c r="W233" i="134"/>
  <c r="U233" i="134"/>
  <c r="Q233" i="134"/>
  <c r="AA232" i="134"/>
  <c r="W232" i="134"/>
  <c r="U232" i="134"/>
  <c r="Q232" i="134"/>
  <c r="AA231" i="134"/>
  <c r="W231" i="134"/>
  <c r="U231" i="134"/>
  <c r="Q231" i="134"/>
  <c r="AA230" i="134"/>
  <c r="W230" i="134"/>
  <c r="U230" i="134"/>
  <c r="Q230" i="134"/>
  <c r="AA229" i="134"/>
  <c r="W229" i="134"/>
  <c r="U229" i="134"/>
  <c r="Q229" i="134"/>
  <c r="AA228" i="134"/>
  <c r="W228" i="134"/>
  <c r="U228" i="134"/>
  <c r="Q228" i="134"/>
  <c r="AA227" i="134"/>
  <c r="AA247" i="134" s="1"/>
  <c r="W227" i="134"/>
  <c r="W247" i="134" s="1"/>
  <c r="U227" i="134"/>
  <c r="Q227" i="134"/>
  <c r="AA223" i="134"/>
  <c r="M223" i="134"/>
  <c r="K223" i="134"/>
  <c r="AA222" i="134"/>
  <c r="U222" i="134"/>
  <c r="U223" i="134" s="1"/>
  <c r="Q222" i="134"/>
  <c r="Q223" i="134" s="1"/>
  <c r="U220" i="134"/>
  <c r="Q220" i="134"/>
  <c r="M220" i="134"/>
  <c r="K220" i="134"/>
  <c r="AA219" i="134"/>
  <c r="W219" i="134"/>
  <c r="U219" i="134"/>
  <c r="Q219" i="134"/>
  <c r="AA218" i="134"/>
  <c r="W218" i="134"/>
  <c r="U218" i="134"/>
  <c r="Q218" i="134"/>
  <c r="AA217" i="134"/>
  <c r="W217" i="134"/>
  <c r="U217" i="134"/>
  <c r="Q217" i="134"/>
  <c r="AA216" i="134"/>
  <c r="W216" i="134"/>
  <c r="U216" i="134"/>
  <c r="Q216" i="134"/>
  <c r="AA215" i="134"/>
  <c r="W215" i="134"/>
  <c r="U215" i="134"/>
  <c r="Q215" i="134"/>
  <c r="AA214" i="134"/>
  <c r="W214" i="134"/>
  <c r="U214" i="134"/>
  <c r="Q214" i="134"/>
  <c r="AA213" i="134"/>
  <c r="W213" i="134"/>
  <c r="U213" i="134"/>
  <c r="Q213" i="134"/>
  <c r="AA212" i="134"/>
  <c r="AA220" i="134" s="1"/>
  <c r="W212" i="134"/>
  <c r="W220" i="134" s="1"/>
  <c r="U212" i="134"/>
  <c r="Q212" i="134"/>
  <c r="AA210" i="134"/>
  <c r="M210" i="134"/>
  <c r="K210" i="134"/>
  <c r="AA209" i="134"/>
  <c r="U209" i="134"/>
  <c r="W209" i="134" s="1"/>
  <c r="Q209" i="134"/>
  <c r="AA208" i="134"/>
  <c r="U208" i="134"/>
  <c r="W208" i="134" s="1"/>
  <c r="Q208" i="134"/>
  <c r="AA207" i="134"/>
  <c r="U207" i="134"/>
  <c r="W207" i="134" s="1"/>
  <c r="Q207" i="134"/>
  <c r="AA206" i="134"/>
  <c r="U206" i="134"/>
  <c r="W206" i="134" s="1"/>
  <c r="Q206" i="134"/>
  <c r="AA205" i="134"/>
  <c r="U205" i="134"/>
  <c r="W205" i="134" s="1"/>
  <c r="Q205" i="134"/>
  <c r="AA204" i="134"/>
  <c r="U204" i="134"/>
  <c r="W204" i="134" s="1"/>
  <c r="Q204" i="134"/>
  <c r="AA203" i="134"/>
  <c r="U203" i="134"/>
  <c r="W203" i="134" s="1"/>
  <c r="Q203" i="134"/>
  <c r="AA202" i="134"/>
  <c r="U202" i="134"/>
  <c r="W202" i="134" s="1"/>
  <c r="Q202" i="134"/>
  <c r="AA201" i="134"/>
  <c r="U201" i="134"/>
  <c r="W201" i="134" s="1"/>
  <c r="Q201" i="134"/>
  <c r="AA200" i="134"/>
  <c r="U200" i="134"/>
  <c r="W200" i="134" s="1"/>
  <c r="Q200" i="134"/>
  <c r="AA199" i="134"/>
  <c r="U199" i="134"/>
  <c r="W199" i="134" s="1"/>
  <c r="Q199" i="134"/>
  <c r="AA198" i="134"/>
  <c r="U198" i="134"/>
  <c r="W198" i="134" s="1"/>
  <c r="Q198" i="134"/>
  <c r="AA197" i="134"/>
  <c r="U197" i="134"/>
  <c r="W197" i="134" s="1"/>
  <c r="Q197" i="134"/>
  <c r="AA196" i="134"/>
  <c r="U196" i="134"/>
  <c r="W196" i="134" s="1"/>
  <c r="Q196" i="134"/>
  <c r="AA195" i="134"/>
  <c r="U195" i="134"/>
  <c r="W195" i="134" s="1"/>
  <c r="Q195" i="134"/>
  <c r="AA194" i="134"/>
  <c r="U194" i="134"/>
  <c r="W194" i="134" s="1"/>
  <c r="Q194" i="134"/>
  <c r="AA193" i="134"/>
  <c r="U193" i="134"/>
  <c r="W193" i="134" s="1"/>
  <c r="Q193" i="134"/>
  <c r="AA192" i="134"/>
  <c r="U192" i="134"/>
  <c r="W192" i="134" s="1"/>
  <c r="Q192" i="134"/>
  <c r="AA191" i="134"/>
  <c r="U191" i="134"/>
  <c r="W191" i="134" s="1"/>
  <c r="Q191" i="134"/>
  <c r="AA190" i="134"/>
  <c r="U190" i="134"/>
  <c r="U210" i="134" s="1"/>
  <c r="Q190" i="134"/>
  <c r="Q210" i="134" s="1"/>
  <c r="U186" i="134"/>
  <c r="Q186" i="134"/>
  <c r="M186" i="134"/>
  <c r="K186" i="134"/>
  <c r="AA185" i="134"/>
  <c r="AA186" i="134" s="1"/>
  <c r="W185" i="134"/>
  <c r="W186" i="134" s="1"/>
  <c r="U185" i="134"/>
  <c r="Q185" i="134"/>
  <c r="AA183" i="134"/>
  <c r="M183" i="134"/>
  <c r="K183" i="134"/>
  <c r="AA182" i="134"/>
  <c r="U182" i="134"/>
  <c r="W182" i="134" s="1"/>
  <c r="Q182" i="134"/>
  <c r="AA181" i="134"/>
  <c r="U181" i="134"/>
  <c r="W181" i="134" s="1"/>
  <c r="Q181" i="134"/>
  <c r="AA180" i="134"/>
  <c r="U180" i="134"/>
  <c r="W180" i="134" s="1"/>
  <c r="Q180" i="134"/>
  <c r="AA179" i="134"/>
  <c r="U179" i="134"/>
  <c r="W179" i="134" s="1"/>
  <c r="Q179" i="134"/>
  <c r="AA178" i="134"/>
  <c r="U178" i="134"/>
  <c r="W178" i="134" s="1"/>
  <c r="Q178" i="134"/>
  <c r="AA177" i="134"/>
  <c r="U177" i="134"/>
  <c r="W177" i="134" s="1"/>
  <c r="Q177" i="134"/>
  <c r="AA176" i="134"/>
  <c r="U176" i="134"/>
  <c r="W176" i="134" s="1"/>
  <c r="Q176" i="134"/>
  <c r="AA175" i="134"/>
  <c r="U175" i="134"/>
  <c r="U183" i="134" s="1"/>
  <c r="Q175" i="134"/>
  <c r="Q183" i="134" s="1"/>
  <c r="U173" i="134"/>
  <c r="Q173" i="134"/>
  <c r="M173" i="134"/>
  <c r="K173" i="134"/>
  <c r="AA172" i="134"/>
  <c r="W172" i="134"/>
  <c r="U172" i="134"/>
  <c r="Q172" i="134"/>
  <c r="AA171" i="134"/>
  <c r="W171" i="134"/>
  <c r="U171" i="134"/>
  <c r="Q171" i="134"/>
  <c r="AA170" i="134"/>
  <c r="W170" i="134"/>
  <c r="U170" i="134"/>
  <c r="Q170" i="134"/>
  <c r="AA169" i="134"/>
  <c r="W169" i="134"/>
  <c r="U169" i="134"/>
  <c r="Q169" i="134"/>
  <c r="AA168" i="134"/>
  <c r="W168" i="134"/>
  <c r="U168" i="134"/>
  <c r="Q168" i="134"/>
  <c r="AA167" i="134"/>
  <c r="W167" i="134"/>
  <c r="U167" i="134"/>
  <c r="Q167" i="134"/>
  <c r="AA166" i="134"/>
  <c r="W166" i="134"/>
  <c r="U166" i="134"/>
  <c r="Q166" i="134"/>
  <c r="AA165" i="134"/>
  <c r="W165" i="134"/>
  <c r="U165" i="134"/>
  <c r="Q165" i="134"/>
  <c r="AA164" i="134"/>
  <c r="W164" i="134"/>
  <c r="U164" i="134"/>
  <c r="Q164" i="134"/>
  <c r="AA163" i="134"/>
  <c r="W163" i="134"/>
  <c r="U163" i="134"/>
  <c r="Q163" i="134"/>
  <c r="AA162" i="134"/>
  <c r="W162" i="134"/>
  <c r="U162" i="134"/>
  <c r="Q162" i="134"/>
  <c r="AA161" i="134"/>
  <c r="W161" i="134"/>
  <c r="U161" i="134"/>
  <c r="Q161" i="134"/>
  <c r="AA160" i="134"/>
  <c r="W160" i="134"/>
  <c r="U160" i="134"/>
  <c r="Q160" i="134"/>
  <c r="AA159" i="134"/>
  <c r="W159" i="134"/>
  <c r="U159" i="134"/>
  <c r="Q159" i="134"/>
  <c r="AA158" i="134"/>
  <c r="W158" i="134"/>
  <c r="U158" i="134"/>
  <c r="Q158" i="134"/>
  <c r="AA157" i="134"/>
  <c r="W157" i="134"/>
  <c r="U157" i="134"/>
  <c r="Q157" i="134"/>
  <c r="AA156" i="134"/>
  <c r="W156" i="134"/>
  <c r="U156" i="134"/>
  <c r="Q156" i="134"/>
  <c r="AA155" i="134"/>
  <c r="W155" i="134"/>
  <c r="U155" i="134"/>
  <c r="Q155" i="134"/>
  <c r="AA154" i="134"/>
  <c r="W154" i="134"/>
  <c r="U154" i="134"/>
  <c r="Q154" i="134"/>
  <c r="AA153" i="134"/>
  <c r="AA173" i="134" s="1"/>
  <c r="W153" i="134"/>
  <c r="W173" i="134" s="1"/>
  <c r="U153" i="134"/>
  <c r="Q153" i="134"/>
  <c r="AA149" i="134"/>
  <c r="M149" i="134"/>
  <c r="K149" i="134"/>
  <c r="AA148" i="134"/>
  <c r="U148" i="134"/>
  <c r="W148" i="134" s="1"/>
  <c r="Q148" i="134"/>
  <c r="AA147" i="134"/>
  <c r="U147" i="134"/>
  <c r="U149" i="134" s="1"/>
  <c r="Q147" i="134"/>
  <c r="Q149" i="134" s="1"/>
  <c r="U145" i="134"/>
  <c r="Q145" i="134"/>
  <c r="M145" i="134"/>
  <c r="K145" i="134"/>
  <c r="AA144" i="134"/>
  <c r="W144" i="134"/>
  <c r="U144" i="134"/>
  <c r="Q144" i="134"/>
  <c r="AA143" i="134"/>
  <c r="W143" i="134"/>
  <c r="U143" i="134"/>
  <c r="Q143" i="134"/>
  <c r="AA142" i="134"/>
  <c r="W142" i="134"/>
  <c r="U142" i="134"/>
  <c r="Q142" i="134"/>
  <c r="AA141" i="134"/>
  <c r="W141" i="134"/>
  <c r="U141" i="134"/>
  <c r="Q141" i="134"/>
  <c r="AA140" i="134"/>
  <c r="W140" i="134"/>
  <c r="U140" i="134"/>
  <c r="Q140" i="134"/>
  <c r="AA139" i="134"/>
  <c r="W139" i="134"/>
  <c r="U139" i="134"/>
  <c r="Q139" i="134"/>
  <c r="AA138" i="134"/>
  <c r="W138" i="134"/>
  <c r="U138" i="134"/>
  <c r="Q138" i="134"/>
  <c r="AA137" i="134"/>
  <c r="AA145" i="134" s="1"/>
  <c r="W137" i="134"/>
  <c r="W145" i="134" s="1"/>
  <c r="U137" i="134"/>
  <c r="Q137" i="134"/>
  <c r="AA135" i="134"/>
  <c r="M135" i="134"/>
  <c r="K135" i="134"/>
  <c r="AA134" i="134"/>
  <c r="U134" i="134"/>
  <c r="W134" i="134" s="1"/>
  <c r="Q134" i="134"/>
  <c r="AA133" i="134"/>
  <c r="U133" i="134"/>
  <c r="W133" i="134" s="1"/>
  <c r="Q133" i="134"/>
  <c r="AA132" i="134"/>
  <c r="U132" i="134"/>
  <c r="W132" i="134" s="1"/>
  <c r="Q132" i="134"/>
  <c r="AA131" i="134"/>
  <c r="U131" i="134"/>
  <c r="W131" i="134" s="1"/>
  <c r="Q131" i="134"/>
  <c r="AA130" i="134"/>
  <c r="U130" i="134"/>
  <c r="W130" i="134" s="1"/>
  <c r="Q130" i="134"/>
  <c r="AA129" i="134"/>
  <c r="U129" i="134"/>
  <c r="W129" i="134" s="1"/>
  <c r="Q129" i="134"/>
  <c r="AA128" i="134"/>
  <c r="U128" i="134"/>
  <c r="W128" i="134" s="1"/>
  <c r="Q128" i="134"/>
  <c r="AA127" i="134"/>
  <c r="U127" i="134"/>
  <c r="W127" i="134" s="1"/>
  <c r="Q127" i="134"/>
  <c r="AA126" i="134"/>
  <c r="U126" i="134"/>
  <c r="W126" i="134" s="1"/>
  <c r="Q126" i="134"/>
  <c r="AA125" i="134"/>
  <c r="U125" i="134"/>
  <c r="W125" i="134" s="1"/>
  <c r="Q125" i="134"/>
  <c r="AA124" i="134"/>
  <c r="U124" i="134"/>
  <c r="W124" i="134" s="1"/>
  <c r="Q124" i="134"/>
  <c r="AA123" i="134"/>
  <c r="U123" i="134"/>
  <c r="W123" i="134" s="1"/>
  <c r="Q123" i="134"/>
  <c r="AA122" i="134"/>
  <c r="U122" i="134"/>
  <c r="W122" i="134" s="1"/>
  <c r="Q122" i="134"/>
  <c r="AA121" i="134"/>
  <c r="U121" i="134"/>
  <c r="W121" i="134" s="1"/>
  <c r="Q121" i="134"/>
  <c r="AA120" i="134"/>
  <c r="U120" i="134"/>
  <c r="W120" i="134" s="1"/>
  <c r="Q120" i="134"/>
  <c r="AA119" i="134"/>
  <c r="U119" i="134"/>
  <c r="W119" i="134" s="1"/>
  <c r="Q119" i="134"/>
  <c r="AA118" i="134"/>
  <c r="U118" i="134"/>
  <c r="W118" i="134" s="1"/>
  <c r="Q118" i="134"/>
  <c r="AA117" i="134"/>
  <c r="U117" i="134"/>
  <c r="W117" i="134" s="1"/>
  <c r="Q117" i="134"/>
  <c r="AA116" i="134"/>
  <c r="U116" i="134"/>
  <c r="W116" i="134" s="1"/>
  <c r="Q116" i="134"/>
  <c r="AA115" i="134"/>
  <c r="U115" i="134"/>
  <c r="W115" i="134" s="1"/>
  <c r="Q115" i="134"/>
  <c r="AA114" i="134"/>
  <c r="U114" i="134"/>
  <c r="W114" i="134" s="1"/>
  <c r="Q114" i="134"/>
  <c r="AA113" i="134"/>
  <c r="U113" i="134"/>
  <c r="W113" i="134" s="1"/>
  <c r="Q113" i="134"/>
  <c r="AA112" i="134"/>
  <c r="U112" i="134"/>
  <c r="W112" i="134" s="1"/>
  <c r="Q112" i="134"/>
  <c r="AA111" i="134"/>
  <c r="U111" i="134"/>
  <c r="W111" i="134" s="1"/>
  <c r="Q111" i="134"/>
  <c r="AA110" i="134"/>
  <c r="U110" i="134"/>
  <c r="W110" i="134" s="1"/>
  <c r="Q110" i="134"/>
  <c r="AA109" i="134"/>
  <c r="U109" i="134"/>
  <c r="W109" i="134" s="1"/>
  <c r="Q109" i="134"/>
  <c r="AA108" i="134"/>
  <c r="U108" i="134"/>
  <c r="W108" i="134" s="1"/>
  <c r="Q108" i="134"/>
  <c r="AA107" i="134"/>
  <c r="U107" i="134"/>
  <c r="W107" i="134" s="1"/>
  <c r="Q107" i="134"/>
  <c r="AA106" i="134"/>
  <c r="U106" i="134"/>
  <c r="U135" i="134" s="1"/>
  <c r="Q106" i="134"/>
  <c r="Q135" i="134" s="1"/>
  <c r="U102" i="134"/>
  <c r="Q102" i="134"/>
  <c r="M102" i="134"/>
  <c r="K102" i="134"/>
  <c r="AA101" i="134"/>
  <c r="W101" i="134"/>
  <c r="U101" i="134"/>
  <c r="Q101" i="134"/>
  <c r="AA100" i="134"/>
  <c r="W100" i="134"/>
  <c r="U100" i="134"/>
  <c r="Q100" i="134"/>
  <c r="AA99" i="134"/>
  <c r="AA102" i="134" s="1"/>
  <c r="W99" i="134"/>
  <c r="W102" i="134" s="1"/>
  <c r="U99" i="134"/>
  <c r="Q99" i="134"/>
  <c r="AA97" i="134"/>
  <c r="M97" i="134"/>
  <c r="K97" i="134"/>
  <c r="AA96" i="134"/>
  <c r="U96" i="134"/>
  <c r="W96" i="134" s="1"/>
  <c r="Q96" i="134"/>
  <c r="AA95" i="134"/>
  <c r="U95" i="134"/>
  <c r="W95" i="134" s="1"/>
  <c r="Q95" i="134"/>
  <c r="AA94" i="134"/>
  <c r="U94" i="134"/>
  <c r="W94" i="134" s="1"/>
  <c r="Q94" i="134"/>
  <c r="AA93" i="134"/>
  <c r="U93" i="134"/>
  <c r="W93" i="134" s="1"/>
  <c r="Q93" i="134"/>
  <c r="AA92" i="134"/>
  <c r="U92" i="134"/>
  <c r="W92" i="134" s="1"/>
  <c r="Q92" i="134"/>
  <c r="AA91" i="134"/>
  <c r="U91" i="134"/>
  <c r="W91" i="134" s="1"/>
  <c r="Q91" i="134"/>
  <c r="AA90" i="134"/>
  <c r="U90" i="134"/>
  <c r="W90" i="134" s="1"/>
  <c r="Q90" i="134"/>
  <c r="AA89" i="134"/>
  <c r="U89" i="134"/>
  <c r="U97" i="134" s="1"/>
  <c r="Q89" i="134"/>
  <c r="Q97" i="134" s="1"/>
  <c r="U87" i="134"/>
  <c r="Q87" i="134"/>
  <c r="M87" i="134"/>
  <c r="K87" i="134"/>
  <c r="AA86" i="134"/>
  <c r="W86" i="134"/>
  <c r="U86" i="134"/>
  <c r="Q86" i="134"/>
  <c r="AA85" i="134"/>
  <c r="W85" i="134"/>
  <c r="U85" i="134"/>
  <c r="Q85" i="134"/>
  <c r="AA84" i="134"/>
  <c r="W84" i="134"/>
  <c r="U84" i="134"/>
  <c r="Q84" i="134"/>
  <c r="AA83" i="134"/>
  <c r="W83" i="134"/>
  <c r="U83" i="134"/>
  <c r="Q83" i="134"/>
  <c r="AA82" i="134"/>
  <c r="W82" i="134"/>
  <c r="U82" i="134"/>
  <c r="Q82" i="134"/>
  <c r="AA81" i="134"/>
  <c r="W81" i="134"/>
  <c r="U81" i="134"/>
  <c r="Q81" i="134"/>
  <c r="AA80" i="134"/>
  <c r="W80" i="134"/>
  <c r="U80" i="134"/>
  <c r="Q80" i="134"/>
  <c r="AA79" i="134"/>
  <c r="W79" i="134"/>
  <c r="U79" i="134"/>
  <c r="Q79" i="134"/>
  <c r="AA78" i="134"/>
  <c r="W78" i="134"/>
  <c r="U78" i="134"/>
  <c r="Q78" i="134"/>
  <c r="AA77" i="134"/>
  <c r="W77" i="134"/>
  <c r="U77" i="134"/>
  <c r="Q77" i="134"/>
  <c r="AA76" i="134"/>
  <c r="W76" i="134"/>
  <c r="U76" i="134"/>
  <c r="Q76" i="134"/>
  <c r="AA75" i="134"/>
  <c r="W75" i="134"/>
  <c r="U75" i="134"/>
  <c r="Q75" i="134"/>
  <c r="AA74" i="134"/>
  <c r="W74" i="134"/>
  <c r="U74" i="134"/>
  <c r="Q74" i="134"/>
  <c r="AA73" i="134"/>
  <c r="W73" i="134"/>
  <c r="U73" i="134"/>
  <c r="Q73" i="134"/>
  <c r="AA72" i="134"/>
  <c r="W72" i="134"/>
  <c r="U72" i="134"/>
  <c r="Q72" i="134"/>
  <c r="AA71" i="134"/>
  <c r="W71" i="134"/>
  <c r="U71" i="134"/>
  <c r="Q71" i="134"/>
  <c r="AA70" i="134"/>
  <c r="W70" i="134"/>
  <c r="U70" i="134"/>
  <c r="Q70" i="134"/>
  <c r="AA69" i="134"/>
  <c r="W69" i="134"/>
  <c r="U69" i="134"/>
  <c r="Q69" i="134"/>
  <c r="AA68" i="134"/>
  <c r="W68" i="134"/>
  <c r="U68" i="134"/>
  <c r="Q68" i="134"/>
  <c r="AA67" i="134"/>
  <c r="W67" i="134"/>
  <c r="U67" i="134"/>
  <c r="Q67" i="134"/>
  <c r="AA66" i="134"/>
  <c r="W66" i="134"/>
  <c r="U66" i="134"/>
  <c r="Q66" i="134"/>
  <c r="AA65" i="134"/>
  <c r="W65" i="134"/>
  <c r="U65" i="134"/>
  <c r="Q65" i="134"/>
  <c r="AA64" i="134"/>
  <c r="W64" i="134"/>
  <c r="U64" i="134"/>
  <c r="Q64" i="134"/>
  <c r="AA63" i="134"/>
  <c r="W63" i="134"/>
  <c r="U63" i="134"/>
  <c r="Q63" i="134"/>
  <c r="AA62" i="134"/>
  <c r="W62" i="134"/>
  <c r="U62" i="134"/>
  <c r="Q62" i="134"/>
  <c r="AA61" i="134"/>
  <c r="W61" i="134"/>
  <c r="U61" i="134"/>
  <c r="Q61" i="134"/>
  <c r="AA60" i="134"/>
  <c r="W60" i="134"/>
  <c r="U60" i="134"/>
  <c r="Q60" i="134"/>
  <c r="AA59" i="134"/>
  <c r="W59" i="134"/>
  <c r="U59" i="134"/>
  <c r="Q59" i="134"/>
  <c r="AA58" i="134"/>
  <c r="AA87" i="134" s="1"/>
  <c r="W58" i="134"/>
  <c r="W87" i="134" s="1"/>
  <c r="U58" i="134"/>
  <c r="Q58" i="134"/>
  <c r="AA54" i="134"/>
  <c r="M54" i="134"/>
  <c r="M500" i="134" s="1"/>
  <c r="K54" i="134"/>
  <c r="K500" i="134" s="1"/>
  <c r="AA53" i="134"/>
  <c r="U53" i="134"/>
  <c r="W53" i="134" s="1"/>
  <c r="Q53" i="134"/>
  <c r="AA52" i="134"/>
  <c r="U52" i="134"/>
  <c r="W52" i="134" s="1"/>
  <c r="Q52" i="134"/>
  <c r="AA51" i="134"/>
  <c r="U51" i="134"/>
  <c r="U54" i="134" s="1"/>
  <c r="Q51" i="134"/>
  <c r="Q54" i="134" s="1"/>
  <c r="U49" i="134"/>
  <c r="Q49" i="134"/>
  <c r="M49" i="134"/>
  <c r="K49" i="134"/>
  <c r="AA48" i="134"/>
  <c r="W48" i="134"/>
  <c r="U48" i="134"/>
  <c r="Q48" i="134"/>
  <c r="AA47" i="134"/>
  <c r="W47" i="134"/>
  <c r="U47" i="134"/>
  <c r="Q47" i="134"/>
  <c r="AA46" i="134"/>
  <c r="W46" i="134"/>
  <c r="U46" i="134"/>
  <c r="Q46" i="134"/>
  <c r="AA45" i="134"/>
  <c r="W45" i="134"/>
  <c r="U45" i="134"/>
  <c r="Q45" i="134"/>
  <c r="AA44" i="134"/>
  <c r="W44" i="134"/>
  <c r="U44" i="134"/>
  <c r="Q44" i="134"/>
  <c r="AA43" i="134"/>
  <c r="W43" i="134"/>
  <c r="U43" i="134"/>
  <c r="Q43" i="134"/>
  <c r="AA42" i="134"/>
  <c r="W42" i="134"/>
  <c r="U42" i="134"/>
  <c r="Q42" i="134"/>
  <c r="AA41" i="134"/>
  <c r="AA49" i="134" s="1"/>
  <c r="AA499" i="134" s="1"/>
  <c r="K11" i="133" s="1"/>
  <c r="W41" i="134"/>
  <c r="W49" i="134" s="1"/>
  <c r="U41" i="134"/>
  <c r="Q41" i="134"/>
  <c r="AA39" i="134"/>
  <c r="AA498" i="134" s="1"/>
  <c r="M39" i="134"/>
  <c r="K39" i="134"/>
  <c r="K498" i="134" s="1"/>
  <c r="AA38" i="134"/>
  <c r="U38" i="134"/>
  <c r="W38" i="134" s="1"/>
  <c r="Q38" i="134"/>
  <c r="AA37" i="134"/>
  <c r="U37" i="134"/>
  <c r="W37" i="134" s="1"/>
  <c r="Q37" i="134"/>
  <c r="AA36" i="134"/>
  <c r="U36" i="134"/>
  <c r="W36" i="134" s="1"/>
  <c r="Q36" i="134"/>
  <c r="AA35" i="134"/>
  <c r="U35" i="134"/>
  <c r="W35" i="134" s="1"/>
  <c r="Q35" i="134"/>
  <c r="AA34" i="134"/>
  <c r="U34" i="134"/>
  <c r="W34" i="134" s="1"/>
  <c r="Q34" i="134"/>
  <c r="AA33" i="134"/>
  <c r="U33" i="134"/>
  <c r="W33" i="134" s="1"/>
  <c r="Q33" i="134"/>
  <c r="AA32" i="134"/>
  <c r="U32" i="134"/>
  <c r="W32" i="134" s="1"/>
  <c r="Q32" i="134"/>
  <c r="AA31" i="134"/>
  <c r="U31" i="134"/>
  <c r="W31" i="134" s="1"/>
  <c r="Q31" i="134"/>
  <c r="AA30" i="134"/>
  <c r="U30" i="134"/>
  <c r="W30" i="134" s="1"/>
  <c r="Q30" i="134"/>
  <c r="AA29" i="134"/>
  <c r="U29" i="134"/>
  <c r="W29" i="134" s="1"/>
  <c r="Q29" i="134"/>
  <c r="AA28" i="134"/>
  <c r="U28" i="134"/>
  <c r="W28" i="134" s="1"/>
  <c r="Q28" i="134"/>
  <c r="AA27" i="134"/>
  <c r="U27" i="134"/>
  <c r="W27" i="134" s="1"/>
  <c r="Q27" i="134"/>
  <c r="AA26" i="134"/>
  <c r="U26" i="134"/>
  <c r="W26" i="134" s="1"/>
  <c r="Q26" i="134"/>
  <c r="AA25" i="134"/>
  <c r="U25" i="134"/>
  <c r="W25" i="134" s="1"/>
  <c r="Q25" i="134"/>
  <c r="AA24" i="134"/>
  <c r="U24" i="134"/>
  <c r="W24" i="134" s="1"/>
  <c r="Q24" i="134"/>
  <c r="AA23" i="134"/>
  <c r="U23" i="134"/>
  <c r="W23" i="134" s="1"/>
  <c r="Q23" i="134"/>
  <c r="AA22" i="134"/>
  <c r="U22" i="134"/>
  <c r="W22" i="134" s="1"/>
  <c r="Q22" i="134"/>
  <c r="AA21" i="134"/>
  <c r="U21" i="134"/>
  <c r="W21" i="134" s="1"/>
  <c r="Q21" i="134"/>
  <c r="AA20" i="134"/>
  <c r="U20" i="134"/>
  <c r="W20" i="134" s="1"/>
  <c r="Q20" i="134"/>
  <c r="AA19" i="134"/>
  <c r="U19" i="134"/>
  <c r="W19" i="134" s="1"/>
  <c r="Q19" i="134"/>
  <c r="AA18" i="134"/>
  <c r="U18" i="134"/>
  <c r="W18" i="134" s="1"/>
  <c r="Q18" i="134"/>
  <c r="AA17" i="134"/>
  <c r="U17" i="134"/>
  <c r="W17" i="134" s="1"/>
  <c r="Q17" i="134"/>
  <c r="AA16" i="134"/>
  <c r="U16" i="134"/>
  <c r="W16" i="134" s="1"/>
  <c r="Q16" i="134"/>
  <c r="AA15" i="134"/>
  <c r="U15" i="134"/>
  <c r="W15" i="134" s="1"/>
  <c r="Q15" i="134"/>
  <c r="AA14" i="134"/>
  <c r="U14" i="134"/>
  <c r="W14" i="134" s="1"/>
  <c r="Q14" i="134"/>
  <c r="AA13" i="134"/>
  <c r="U13" i="134"/>
  <c r="W13" i="134" s="1"/>
  <c r="Q13" i="134"/>
  <c r="AA12" i="134"/>
  <c r="U12" i="134"/>
  <c r="W12" i="134" s="1"/>
  <c r="Q12" i="134"/>
  <c r="AA11" i="134"/>
  <c r="U11" i="134"/>
  <c r="W11" i="134" s="1"/>
  <c r="Q11" i="134"/>
  <c r="AA10" i="134"/>
  <c r="U10" i="134"/>
  <c r="U39" i="134" s="1"/>
  <c r="Q10" i="134"/>
  <c r="Q39" i="134" s="1"/>
  <c r="M11" i="133"/>
  <c r="O10" i="133"/>
  <c r="O13" i="133" s="1"/>
  <c r="E32" i="130"/>
  <c r="G32" i="130" s="1"/>
  <c r="E30" i="130"/>
  <c r="G30" i="130" s="1"/>
  <c r="E24" i="130"/>
  <c r="G24" i="130" s="1"/>
  <c r="K45" i="136" l="1"/>
  <c r="O45" i="136" s="1"/>
  <c r="AA140" i="135"/>
  <c r="M410" i="135"/>
  <c r="A439" i="135"/>
  <c r="A440" i="135" s="1"/>
  <c r="A441" i="135" s="1"/>
  <c r="A442" i="135" s="1"/>
  <c r="A443" i="135" s="1"/>
  <c r="A444" i="135" s="1"/>
  <c r="A445" i="135" s="1"/>
  <c r="A446" i="135" s="1"/>
  <c r="A447" i="135" s="1"/>
  <c r="A448" i="135" s="1"/>
  <c r="A449" i="135" s="1"/>
  <c r="AA439" i="135"/>
  <c r="AA449" i="135" s="1"/>
  <c r="A140" i="135"/>
  <c r="A141" i="135" s="1"/>
  <c r="A142" i="135" s="1"/>
  <c r="A143" i="135" s="1"/>
  <c r="A144" i="135" s="1"/>
  <c r="A145" i="135" s="1"/>
  <c r="A146" i="135" s="1"/>
  <c r="A147" i="135" s="1"/>
  <c r="A148" i="135" s="1"/>
  <c r="A149" i="135" s="1"/>
  <c r="A150" i="135" s="1"/>
  <c r="M337" i="135"/>
  <c r="AA253" i="135"/>
  <c r="AA263" i="135" s="1"/>
  <c r="AA337" i="135"/>
  <c r="A178" i="135"/>
  <c r="A179" i="135" s="1"/>
  <c r="A180" i="135" s="1"/>
  <c r="A181" i="135" s="1"/>
  <c r="A182" i="135" s="1"/>
  <c r="A183" i="135" s="1"/>
  <c r="A184" i="135" s="1"/>
  <c r="A185" i="135" s="1"/>
  <c r="A186" i="135" s="1"/>
  <c r="A187" i="135" s="1"/>
  <c r="A101" i="135"/>
  <c r="A102" i="135" s="1"/>
  <c r="A103" i="135" s="1"/>
  <c r="A104" i="135" s="1"/>
  <c r="A105" i="135" s="1"/>
  <c r="A106" i="135" s="1"/>
  <c r="A107" i="135" s="1"/>
  <c r="A108" i="135" s="1"/>
  <c r="A109" i="135" s="1"/>
  <c r="A110" i="135" s="1"/>
  <c r="A111" i="135" s="1"/>
  <c r="AA101" i="135"/>
  <c r="AA111" i="135" s="1"/>
  <c r="AA188" i="135"/>
  <c r="A253" i="135"/>
  <c r="A254" i="135" s="1"/>
  <c r="A255" i="135" s="1"/>
  <c r="A256" i="135" s="1"/>
  <c r="A257" i="135" s="1"/>
  <c r="A258" i="135" s="1"/>
  <c r="A259" i="135" s="1"/>
  <c r="A260" i="135" s="1"/>
  <c r="A261" i="135" s="1"/>
  <c r="A262" i="135" s="1"/>
  <c r="A263" i="135" s="1"/>
  <c r="A290" i="135"/>
  <c r="A291" i="135" s="1"/>
  <c r="A292" i="135" s="1"/>
  <c r="A293" i="135" s="1"/>
  <c r="A294" i="135" s="1"/>
  <c r="A295" i="135" s="1"/>
  <c r="A296" i="135" s="1"/>
  <c r="A297" i="135" s="1"/>
  <c r="A298" i="135" s="1"/>
  <c r="A299" i="135" s="1"/>
  <c r="A327" i="135"/>
  <c r="A328" i="135" s="1"/>
  <c r="A329" i="135" s="1"/>
  <c r="A330" i="135" s="1"/>
  <c r="A331" i="135" s="1"/>
  <c r="A332" i="135" s="1"/>
  <c r="A333" i="135" s="1"/>
  <c r="A334" i="135" s="1"/>
  <c r="A335" i="135" s="1"/>
  <c r="A336" i="135" s="1"/>
  <c r="A337" i="135" s="1"/>
  <c r="A400" i="135"/>
  <c r="A401" i="135" s="1"/>
  <c r="A402" i="135" s="1"/>
  <c r="A403" i="135" s="1"/>
  <c r="A404" i="135" s="1"/>
  <c r="A405" i="135" s="1"/>
  <c r="A406" i="135" s="1"/>
  <c r="A407" i="135" s="1"/>
  <c r="A408" i="135" s="1"/>
  <c r="A409" i="135" s="1"/>
  <c r="Q33" i="136"/>
  <c r="I23" i="136"/>
  <c r="M15" i="136"/>
  <c r="K10" i="133"/>
  <c r="G12" i="133"/>
  <c r="W283" i="134"/>
  <c r="Q498" i="134"/>
  <c r="E10" i="133"/>
  <c r="M498" i="134"/>
  <c r="M501" i="134" s="1"/>
  <c r="K23" i="136"/>
  <c r="O12" i="136"/>
  <c r="O23" i="136" s="1"/>
  <c r="AA500" i="134"/>
  <c r="K12" i="133" s="1"/>
  <c r="Q367" i="134"/>
  <c r="W366" i="134"/>
  <c r="W367" i="134" s="1"/>
  <c r="Q490" i="134"/>
  <c r="W484" i="134"/>
  <c r="AA235" i="135"/>
  <c r="W10" i="134"/>
  <c r="W39" i="134" s="1"/>
  <c r="K499" i="134"/>
  <c r="K501" i="134" s="1"/>
  <c r="W51" i="134"/>
  <c r="W54" i="134" s="1"/>
  <c r="W89" i="134"/>
  <c r="W97" i="134" s="1"/>
  <c r="W106" i="134"/>
  <c r="W135" i="134" s="1"/>
  <c r="W147" i="134"/>
  <c r="W149" i="134" s="1"/>
  <c r="W175" i="134"/>
  <c r="W183" i="134" s="1"/>
  <c r="W190" i="134"/>
  <c r="W210" i="134" s="1"/>
  <c r="W222" i="134"/>
  <c r="W223" i="134" s="1"/>
  <c r="W249" i="134"/>
  <c r="W256" i="134" s="1"/>
  <c r="U295" i="134"/>
  <c r="U500" i="134" s="1"/>
  <c r="U328" i="134"/>
  <c r="W354" i="134"/>
  <c r="W395" i="134"/>
  <c r="Q435" i="134"/>
  <c r="W406" i="134"/>
  <c r="W410" i="134"/>
  <c r="W414" i="134"/>
  <c r="W418" i="134"/>
  <c r="W422" i="134"/>
  <c r="W426" i="134"/>
  <c r="W430" i="134"/>
  <c r="W434" i="134"/>
  <c r="U449" i="134"/>
  <c r="W448" i="134"/>
  <c r="U490" i="134"/>
  <c r="U499" i="134" s="1"/>
  <c r="W487" i="134"/>
  <c r="K465" i="135"/>
  <c r="AA71" i="135"/>
  <c r="AA226" i="135"/>
  <c r="AA272" i="135"/>
  <c r="Q399" i="134"/>
  <c r="E11" i="133" s="1"/>
  <c r="I11" i="133" s="1"/>
  <c r="W393" i="134"/>
  <c r="K26" i="136"/>
  <c r="I33" i="136"/>
  <c r="W335" i="134"/>
  <c r="U399" i="134"/>
  <c r="Q449" i="134"/>
  <c r="Q500" i="134" s="1"/>
  <c r="W445" i="134"/>
  <c r="A31" i="135"/>
  <c r="K467" i="135"/>
  <c r="AA150" i="135"/>
  <c r="M10" i="133"/>
  <c r="M13" i="133" s="1"/>
  <c r="M499" i="134"/>
  <c r="W285" i="134"/>
  <c r="W292" i="134" s="1"/>
  <c r="W299" i="134"/>
  <c r="W319" i="134" s="1"/>
  <c r="W353" i="134"/>
  <c r="W394" i="134"/>
  <c r="W398" i="134"/>
  <c r="U435" i="134"/>
  <c r="U498" i="134" s="1"/>
  <c r="U501" i="134" s="1"/>
  <c r="W409" i="134"/>
  <c r="W413" i="134"/>
  <c r="W417" i="134"/>
  <c r="W421" i="134"/>
  <c r="W425" i="134"/>
  <c r="W429" i="134"/>
  <c r="W433" i="134"/>
  <c r="W447" i="134"/>
  <c r="W486" i="134"/>
  <c r="AA31" i="135"/>
  <c r="K466" i="135"/>
  <c r="A466" i="135" s="1"/>
  <c r="A41" i="135"/>
  <c r="Q86" i="135"/>
  <c r="Q467" i="135" s="1"/>
  <c r="AA121" i="135"/>
  <c r="AA466" i="135" s="1"/>
  <c r="A125" i="135"/>
  <c r="A216" i="135"/>
  <c r="A217" i="135" s="1"/>
  <c r="A218" i="135" s="1"/>
  <c r="A219" i="135" s="1"/>
  <c r="A220" i="135" s="1"/>
  <c r="A221" i="135" s="1"/>
  <c r="A222" i="135" s="1"/>
  <c r="A223" i="135" s="1"/>
  <c r="A224" i="135" s="1"/>
  <c r="A225" i="135" s="1"/>
  <c r="M226" i="135"/>
  <c r="A309" i="135"/>
  <c r="Q349" i="135"/>
  <c r="M467" i="135"/>
  <c r="E23" i="131" s="1"/>
  <c r="A61" i="135"/>
  <c r="A62" i="135" s="1"/>
  <c r="A63" i="135" s="1"/>
  <c r="A64" i="135" s="1"/>
  <c r="A65" i="135" s="1"/>
  <c r="A66" i="135" s="1"/>
  <c r="A67" i="135" s="1"/>
  <c r="A68" i="135" s="1"/>
  <c r="A69" i="135" s="1"/>
  <c r="A70" i="135" s="1"/>
  <c r="A71" i="135" s="1"/>
  <c r="AA300" i="135"/>
  <c r="A364" i="135"/>
  <c r="A365" i="135" s="1"/>
  <c r="A366" i="135" s="1"/>
  <c r="A367" i="135" s="1"/>
  <c r="A368" i="135" s="1"/>
  <c r="A369" i="135" s="1"/>
  <c r="A370" i="135" s="1"/>
  <c r="A371" i="135" s="1"/>
  <c r="A372" i="135" s="1"/>
  <c r="A373" i="135" s="1"/>
  <c r="AA364" i="135"/>
  <c r="AA374" i="135" s="1"/>
  <c r="Q424" i="135"/>
  <c r="M188" i="135"/>
  <c r="M374" i="135"/>
  <c r="A374" i="135" s="1"/>
  <c r="A410" i="135"/>
  <c r="A382" i="135"/>
  <c r="A424" i="135"/>
  <c r="A201" i="135"/>
  <c r="A346" i="135"/>
  <c r="AA382" i="135"/>
  <c r="Q463" i="135"/>
  <c r="AA418" i="135"/>
  <c r="M300" i="135"/>
  <c r="A300" i="135" s="1"/>
  <c r="AA410" i="135"/>
  <c r="AA463" i="135"/>
  <c r="AA467" i="135" s="1"/>
  <c r="M17" i="124"/>
  <c r="A188" i="135" l="1"/>
  <c r="A226" i="135"/>
  <c r="K13" i="133"/>
  <c r="I37" i="136"/>
  <c r="E19" i="130" s="1"/>
  <c r="Q15" i="136"/>
  <c r="M23" i="136"/>
  <c r="A467" i="135"/>
  <c r="W399" i="134"/>
  <c r="W499" i="134" s="1"/>
  <c r="M465" i="135"/>
  <c r="E13" i="131"/>
  <c r="G13" i="131" s="1"/>
  <c r="G23" i="131"/>
  <c r="AA465" i="135"/>
  <c r="AA468" i="135" s="1"/>
  <c r="W355" i="134"/>
  <c r="W498" i="134" s="1"/>
  <c r="W501" i="134" s="1"/>
  <c r="K468" i="135"/>
  <c r="W435" i="134"/>
  <c r="W490" i="134"/>
  <c r="Q499" i="134"/>
  <c r="Q501" i="134" s="1"/>
  <c r="AA501" i="134"/>
  <c r="O26" i="136"/>
  <c r="O33" i="136" s="1"/>
  <c r="O37" i="136" s="1"/>
  <c r="G19" i="130" s="1"/>
  <c r="K33" i="136"/>
  <c r="K37" i="136" s="1"/>
  <c r="E13" i="133"/>
  <c r="I10" i="133"/>
  <c r="G13" i="133"/>
  <c r="I12" i="133"/>
  <c r="W449" i="134"/>
  <c r="W500" i="134"/>
  <c r="Q23" i="136" l="1"/>
  <c r="Q37" i="136" s="1"/>
  <c r="Q49" i="136" s="1"/>
  <c r="M37" i="136"/>
  <c r="M49" i="136" s="1"/>
  <c r="M468" i="135"/>
  <c r="E22" i="131"/>
  <c r="I13" i="133"/>
  <c r="A468" i="135"/>
  <c r="E12" i="131"/>
  <c r="I1" i="93"/>
  <c r="I19" i="130" l="1"/>
  <c r="I22" i="130" s="1"/>
  <c r="G22" i="131"/>
  <c r="G24" i="131" s="1"/>
  <c r="I19" i="132" s="1"/>
  <c r="E24" i="131"/>
  <c r="E14" i="131"/>
  <c r="G19" i="132"/>
  <c r="G12" i="131"/>
  <c r="G14" i="131" s="1"/>
  <c r="I25" i="93"/>
  <c r="J25" i="93"/>
  <c r="H25" i="93"/>
  <c r="H27" i="93" s="1"/>
  <c r="I26" i="93" s="1"/>
  <c r="Q57" i="65"/>
  <c r="Q57" i="57" s="1"/>
  <c r="I35" i="130" l="1"/>
  <c r="I12" i="132" s="1"/>
  <c r="I26" i="132" s="1"/>
  <c r="I27" i="93"/>
  <c r="J26" i="93"/>
  <c r="J27" i="93" s="1"/>
  <c r="S455" i="135" l="1"/>
  <c r="U455" i="135" s="1"/>
  <c r="S377" i="135"/>
  <c r="U377" i="135" s="1"/>
  <c r="S378" i="135"/>
  <c r="U378" i="135" s="1"/>
  <c r="S303" i="135"/>
  <c r="U303" i="135" s="1"/>
  <c r="S340" i="135"/>
  <c r="U340" i="135" s="1"/>
  <c r="S104" i="135"/>
  <c r="U104" i="135" s="1"/>
  <c r="S156" i="135"/>
  <c r="U156" i="135" s="1"/>
  <c r="S75" i="135"/>
  <c r="U75" i="135" s="1"/>
  <c r="S136" i="135"/>
  <c r="U136" i="135" s="1"/>
  <c r="S158" i="135"/>
  <c r="U158" i="135" s="1"/>
  <c r="S16" i="135"/>
  <c r="U16" i="135" s="1"/>
  <c r="S132" i="135"/>
  <c r="U132" i="135" s="1"/>
  <c r="S38" i="135"/>
  <c r="U38" i="135" s="1"/>
  <c r="S363" i="135"/>
  <c r="U363" i="135" s="1"/>
  <c r="S260" i="135"/>
  <c r="U260" i="135" s="1"/>
  <c r="S358" i="135"/>
  <c r="U358" i="135" s="1"/>
  <c r="S452" i="135"/>
  <c r="U452" i="135" s="1"/>
  <c r="S285" i="135"/>
  <c r="U285" i="135" s="1"/>
  <c r="S176" i="135"/>
  <c r="U176" i="135" s="1"/>
  <c r="S258" i="135"/>
  <c r="U258" i="135" s="1"/>
  <c r="S186" i="135"/>
  <c r="U186" i="135" s="1"/>
  <c r="S292" i="135"/>
  <c r="U292" i="135" s="1"/>
  <c r="S146" i="135"/>
  <c r="U146" i="135" s="1"/>
  <c r="S95" i="135"/>
  <c r="U95" i="135" s="1"/>
  <c r="S36" i="135"/>
  <c r="U36" i="135" s="1"/>
  <c r="S147" i="135"/>
  <c r="U147" i="135" s="1"/>
  <c r="S100" i="135"/>
  <c r="U100" i="135" s="1"/>
  <c r="S157" i="135"/>
  <c r="U157" i="135" s="1"/>
  <c r="S35" i="135"/>
  <c r="U35" i="135" s="1"/>
  <c r="S13" i="135"/>
  <c r="U13" i="135" s="1"/>
  <c r="S228" i="135"/>
  <c r="U228" i="135" s="1"/>
  <c r="S116" i="135"/>
  <c r="U116" i="135" s="1"/>
  <c r="S12" i="135"/>
  <c r="U12" i="135" s="1"/>
  <c r="S287" i="135"/>
  <c r="U287" i="135" s="1"/>
  <c r="S34" i="135"/>
  <c r="U34" i="135" s="1"/>
  <c r="S369" i="135"/>
  <c r="U369" i="135" s="1"/>
  <c r="S192" i="135"/>
  <c r="U192" i="135" s="1"/>
  <c r="S391" i="135"/>
  <c r="U391" i="135" s="1"/>
  <c r="S266" i="135"/>
  <c r="U266" i="135" s="1"/>
  <c r="S249" i="135"/>
  <c r="U249" i="135" s="1"/>
  <c r="S248" i="135"/>
  <c r="U248" i="135" s="1"/>
  <c r="S77" i="135"/>
  <c r="U77" i="135" s="1"/>
  <c r="S267" i="135"/>
  <c r="U267" i="135" s="1"/>
  <c r="S74" i="135"/>
  <c r="U74" i="135" s="1"/>
  <c r="S119" i="135"/>
  <c r="U119" i="135" s="1"/>
  <c r="S110" i="135"/>
  <c r="U110" i="135" s="1"/>
  <c r="S58" i="135"/>
  <c r="U58" i="135" s="1"/>
  <c r="S148" i="135"/>
  <c r="U148" i="135" s="1"/>
  <c r="S26" i="135"/>
  <c r="U26" i="135" s="1"/>
  <c r="S57" i="135"/>
  <c r="U57" i="135" s="1"/>
  <c r="S93" i="135"/>
  <c r="U93" i="135" s="1"/>
  <c r="S433" i="135"/>
  <c r="U433" i="135" s="1"/>
  <c r="S354" i="135"/>
  <c r="U354" i="135" s="1"/>
  <c r="S174" i="135"/>
  <c r="U174" i="135" s="1"/>
  <c r="S250" i="135"/>
  <c r="U250" i="135" s="1"/>
  <c r="S417" i="135"/>
  <c r="U417" i="135" s="1"/>
  <c r="S194" i="135"/>
  <c r="U194" i="135" s="1"/>
  <c r="S323" i="135"/>
  <c r="U323" i="135" s="1"/>
  <c r="S233" i="135"/>
  <c r="U233" i="135" s="1"/>
  <c r="S380" i="135"/>
  <c r="U380" i="135" s="1"/>
  <c r="S220" i="135"/>
  <c r="U220" i="135" s="1"/>
  <c r="S129" i="135"/>
  <c r="U129" i="135" s="1"/>
  <c r="S59" i="135"/>
  <c r="U59" i="135" s="1"/>
  <c r="S406" i="135"/>
  <c r="U406" i="135" s="1"/>
  <c r="S214" i="135"/>
  <c r="U214" i="135" s="1"/>
  <c r="S114" i="135"/>
  <c r="U114" i="135" s="1"/>
  <c r="S65" i="135"/>
  <c r="U65" i="135" s="1"/>
  <c r="S15" i="135"/>
  <c r="U15" i="135" s="1"/>
  <c r="S90" i="135"/>
  <c r="U90" i="135" s="1"/>
  <c r="S246" i="135"/>
  <c r="U246" i="135" s="1"/>
  <c r="S106" i="135"/>
  <c r="U106" i="135" s="1"/>
  <c r="S261" i="135"/>
  <c r="U261" i="135" s="1"/>
  <c r="S345" i="135"/>
  <c r="U345" i="135" s="1"/>
  <c r="S185" i="135"/>
  <c r="U185" i="135" s="1"/>
  <c r="S140" i="135"/>
  <c r="U140" i="135" s="1"/>
  <c r="S70" i="135"/>
  <c r="U70" i="135" s="1"/>
  <c r="S22" i="135"/>
  <c r="U22" i="135" s="1"/>
  <c r="S139" i="135"/>
  <c r="U139" i="135" s="1"/>
  <c r="S53" i="135"/>
  <c r="U53" i="135" s="1"/>
  <c r="S279" i="135"/>
  <c r="U279" i="135" s="1"/>
  <c r="S50" i="135"/>
  <c r="U50" i="135" s="1"/>
  <c r="S286" i="135"/>
  <c r="U286" i="135" s="1"/>
  <c r="S230" i="135"/>
  <c r="U230" i="135" s="1"/>
  <c r="S307" i="135"/>
  <c r="U307" i="135" s="1"/>
  <c r="S181" i="135"/>
  <c r="U181" i="135" s="1"/>
  <c r="S208" i="135"/>
  <c r="U208" i="135" s="1"/>
  <c r="S207" i="135"/>
  <c r="U207" i="135" s="1"/>
  <c r="S51" i="135"/>
  <c r="U51" i="135" s="1"/>
  <c r="S330" i="135"/>
  <c r="U330" i="135" s="1"/>
  <c r="S105" i="135"/>
  <c r="U105" i="135" s="1"/>
  <c r="S60" i="135"/>
  <c r="U60" i="135" s="1"/>
  <c r="S184" i="135"/>
  <c r="U184" i="135" s="1"/>
  <c r="S149" i="135"/>
  <c r="U149" i="135" s="1"/>
  <c r="S17" i="135"/>
  <c r="U17" i="135" s="1"/>
  <c r="S336" i="135"/>
  <c r="U336" i="135" s="1"/>
  <c r="S120" i="135"/>
  <c r="U120" i="135" s="1"/>
  <c r="S66" i="135"/>
  <c r="U66" i="135" s="1"/>
  <c r="S135" i="135"/>
  <c r="U135" i="135" s="1"/>
  <c r="S373" i="135"/>
  <c r="U373" i="135" s="1"/>
  <c r="S293" i="135"/>
  <c r="U293" i="135" s="1"/>
  <c r="S33" i="135"/>
  <c r="U33" i="135" s="1"/>
  <c r="S131" i="135"/>
  <c r="U131" i="135" s="1"/>
  <c r="S103" i="135"/>
  <c r="U103" i="135" s="1"/>
  <c r="S154" i="135"/>
  <c r="U154" i="135" s="1"/>
  <c r="S30" i="135"/>
  <c r="U30" i="135" s="1"/>
  <c r="S102" i="135"/>
  <c r="U102" i="135" s="1"/>
  <c r="S107" i="135"/>
  <c r="U107" i="135" s="1"/>
  <c r="S271" i="135"/>
  <c r="U271" i="135" s="1"/>
  <c r="S409" i="135"/>
  <c r="U409" i="135" s="1"/>
  <c r="S175" i="135"/>
  <c r="U175" i="135" s="1"/>
  <c r="S137" i="135"/>
  <c r="U137" i="135" s="1"/>
  <c r="S14" i="135"/>
  <c r="U14" i="135" s="1"/>
  <c r="S138" i="135"/>
  <c r="U138" i="135" s="1"/>
  <c r="S24" i="135"/>
  <c r="U24" i="135" s="1"/>
  <c r="S399" i="135"/>
  <c r="U399" i="135" s="1"/>
  <c r="S443" i="135"/>
  <c r="U443" i="135" s="1"/>
  <c r="S191" i="135"/>
  <c r="U191" i="135" s="1"/>
  <c r="S76" i="135"/>
  <c r="U76" i="135" s="1"/>
  <c r="S215" i="135"/>
  <c r="U215" i="135" s="1"/>
  <c r="S283" i="135"/>
  <c r="U283" i="135" s="1"/>
  <c r="S54" i="135"/>
  <c r="U54" i="135" s="1"/>
  <c r="S219" i="135"/>
  <c r="U219" i="135" s="1"/>
  <c r="S361" i="135"/>
  <c r="U361" i="135" s="1"/>
  <c r="S67" i="135"/>
  <c r="U67" i="135" s="1"/>
  <c r="S141" i="135"/>
  <c r="U141" i="135" s="1"/>
  <c r="S20" i="135"/>
  <c r="U20" i="135" s="1"/>
  <c r="S62" i="135"/>
  <c r="U62" i="135" s="1"/>
  <c r="S80" i="135"/>
  <c r="U80" i="135" s="1"/>
  <c r="S144" i="135"/>
  <c r="U144" i="135" s="1"/>
  <c r="S159" i="135"/>
  <c r="U159" i="135" s="1"/>
  <c r="S319" i="135"/>
  <c r="U319" i="135" s="1"/>
  <c r="S97" i="135"/>
  <c r="U97" i="135" s="1"/>
  <c r="S320" i="135"/>
  <c r="U320" i="135" s="1"/>
  <c r="S63" i="135"/>
  <c r="U63" i="135" s="1"/>
  <c r="S145" i="135"/>
  <c r="U145" i="135" s="1"/>
  <c r="S25" i="135"/>
  <c r="U25" i="135" s="1"/>
  <c r="S98" i="135"/>
  <c r="U98" i="135" s="1"/>
  <c r="S331" i="135"/>
  <c r="U331" i="135" s="1"/>
  <c r="S52" i="135"/>
  <c r="U52" i="135" s="1"/>
  <c r="S92" i="135"/>
  <c r="U92" i="135" s="1"/>
  <c r="S130" i="135"/>
  <c r="U130" i="135" s="1"/>
  <c r="S182" i="135"/>
  <c r="U182" i="135" s="1"/>
  <c r="S302" i="135"/>
  <c r="U302" i="135" s="1"/>
  <c r="S23" i="135"/>
  <c r="U23" i="135" s="1"/>
  <c r="S68" i="135"/>
  <c r="U68" i="135" s="1"/>
  <c r="S113" i="135"/>
  <c r="U113" i="135" s="1"/>
  <c r="S171" i="135"/>
  <c r="U171" i="135" s="1"/>
  <c r="S268" i="135"/>
  <c r="U268" i="135" s="1"/>
  <c r="S167" i="135"/>
  <c r="U167" i="135" s="1"/>
  <c r="S225" i="135"/>
  <c r="U225" i="135" s="1"/>
  <c r="S289" i="135"/>
  <c r="U289" i="135" s="1"/>
  <c r="S435" i="135"/>
  <c r="U435" i="135" s="1"/>
  <c r="S223" i="135"/>
  <c r="U223" i="135" s="1"/>
  <c r="S376" i="135"/>
  <c r="U376" i="135" s="1"/>
  <c r="S190" i="135"/>
  <c r="U190" i="135" s="1"/>
  <c r="S316" i="135"/>
  <c r="U316" i="135" s="1"/>
  <c r="S397" i="135"/>
  <c r="U397" i="135" s="1"/>
  <c r="S213" i="135"/>
  <c r="U213" i="135" s="1"/>
  <c r="S304" i="135"/>
  <c r="U304" i="135" s="1"/>
  <c r="S408" i="135"/>
  <c r="U408" i="135" s="1"/>
  <c r="S407" i="135"/>
  <c r="U407" i="135" s="1"/>
  <c r="S332" i="135"/>
  <c r="U332" i="135" s="1"/>
  <c r="S444" i="135"/>
  <c r="U444" i="135" s="1"/>
  <c r="S243" i="135"/>
  <c r="U243" i="135" s="1"/>
  <c r="S327" i="135"/>
  <c r="U327" i="135" s="1"/>
  <c r="S324" i="135"/>
  <c r="U324" i="135" s="1"/>
  <c r="S440" i="135"/>
  <c r="U440" i="135" s="1"/>
  <c r="S195" i="135"/>
  <c r="U195" i="135" s="1"/>
  <c r="S21" i="135"/>
  <c r="U21" i="135" s="1"/>
  <c r="S39" i="135"/>
  <c r="U39" i="135" s="1"/>
  <c r="S94" i="135"/>
  <c r="U94" i="135" s="1"/>
  <c r="S153" i="135"/>
  <c r="U153" i="135" s="1"/>
  <c r="S245" i="135"/>
  <c r="U245" i="135" s="1"/>
  <c r="S19" i="135"/>
  <c r="U19" i="135" s="1"/>
  <c r="S37" i="135"/>
  <c r="U37" i="135" s="1"/>
  <c r="S61" i="135"/>
  <c r="U61" i="135" s="1"/>
  <c r="S78" i="135"/>
  <c r="U78" i="135" s="1"/>
  <c r="S101" i="135"/>
  <c r="U101" i="135" s="1"/>
  <c r="S118" i="135"/>
  <c r="U118" i="135" s="1"/>
  <c r="S143" i="135"/>
  <c r="U143" i="135" s="1"/>
  <c r="S177" i="135"/>
  <c r="U177" i="135" s="1"/>
  <c r="S253" i="135"/>
  <c r="U253" i="135" s="1"/>
  <c r="S294" i="135"/>
  <c r="U294" i="135" s="1"/>
  <c r="S360" i="135"/>
  <c r="U360" i="135" s="1"/>
  <c r="S18" i="135"/>
  <c r="U18" i="135" s="1"/>
  <c r="S40" i="135"/>
  <c r="U40" i="135" s="1"/>
  <c r="S64" i="135"/>
  <c r="U64" i="135" s="1"/>
  <c r="S91" i="135"/>
  <c r="U91" i="135" s="1"/>
  <c r="S108" i="135"/>
  <c r="U108" i="135" s="1"/>
  <c r="S133" i="135"/>
  <c r="U133" i="135" s="1"/>
  <c r="S155" i="135"/>
  <c r="U155" i="135" s="1"/>
  <c r="S210" i="135"/>
  <c r="U210" i="135" s="1"/>
  <c r="S255" i="135"/>
  <c r="U255" i="135" s="1"/>
  <c r="S328" i="135"/>
  <c r="U328" i="135" s="1"/>
  <c r="S404" i="135"/>
  <c r="U404" i="135" s="1"/>
  <c r="S180" i="135"/>
  <c r="U180" i="135" s="1"/>
  <c r="S217" i="135"/>
  <c r="U217" i="135" s="1"/>
  <c r="S234" i="135"/>
  <c r="U234" i="135" s="1"/>
  <c r="S281" i="135"/>
  <c r="U281" i="135" s="1"/>
  <c r="S322" i="135"/>
  <c r="U322" i="135" s="1"/>
  <c r="S431" i="135"/>
  <c r="U431" i="135" s="1"/>
  <c r="S178" i="135"/>
  <c r="U178" i="135" s="1"/>
  <c r="S212" i="135"/>
  <c r="U212" i="135" s="1"/>
  <c r="S270" i="135"/>
  <c r="U270" i="135" s="1"/>
  <c r="S334" i="135"/>
  <c r="U334" i="135" s="1"/>
  <c r="S365" i="135"/>
  <c r="U365" i="135" s="1"/>
  <c r="S456" i="135"/>
  <c r="U456" i="135" s="1"/>
  <c r="S242" i="135"/>
  <c r="U242" i="135" s="1"/>
  <c r="S297" i="135"/>
  <c r="U297" i="135" s="1"/>
  <c r="S353" i="135"/>
  <c r="U353" i="135" s="1"/>
  <c r="S392" i="135"/>
  <c r="U392" i="135" s="1"/>
  <c r="S453" i="135"/>
  <c r="U453" i="135" s="1"/>
  <c r="S205" i="135"/>
  <c r="U205" i="135" s="1"/>
  <c r="S251" i="135"/>
  <c r="U251" i="135" s="1"/>
  <c r="S295" i="135"/>
  <c r="U295" i="135" s="1"/>
  <c r="S341" i="135"/>
  <c r="U341" i="135" s="1"/>
  <c r="S395" i="135"/>
  <c r="U395" i="135" s="1"/>
  <c r="S333" i="135"/>
  <c r="U333" i="135" s="1"/>
  <c r="S398" i="135"/>
  <c r="U398" i="135" s="1"/>
  <c r="S415" i="135"/>
  <c r="U415" i="135" s="1"/>
  <c r="S280" i="135"/>
  <c r="U280" i="135" s="1"/>
  <c r="S29" i="135"/>
  <c r="U29" i="135" s="1"/>
  <c r="S79" i="135"/>
  <c r="U79" i="135" s="1"/>
  <c r="S115" i="135"/>
  <c r="U115" i="135" s="1"/>
  <c r="S169" i="135"/>
  <c r="U169" i="135" s="1"/>
  <c r="S11" i="135"/>
  <c r="U11" i="135" s="1"/>
  <c r="S28" i="135"/>
  <c r="U28" i="135" s="1"/>
  <c r="S56" i="135"/>
  <c r="U56" i="135" s="1"/>
  <c r="S69" i="135"/>
  <c r="U69" i="135" s="1"/>
  <c r="S96" i="135"/>
  <c r="U96" i="135" s="1"/>
  <c r="S109" i="135"/>
  <c r="U109" i="135" s="1"/>
  <c r="S134" i="135"/>
  <c r="U134" i="135" s="1"/>
  <c r="S152" i="135"/>
  <c r="U152" i="135" s="1"/>
  <c r="S206" i="135"/>
  <c r="U206" i="135" s="1"/>
  <c r="S290" i="135"/>
  <c r="U290" i="135" s="1"/>
  <c r="S305" i="135"/>
  <c r="U305" i="135" s="1"/>
  <c r="S10" i="135"/>
  <c r="U10" i="135" s="1"/>
  <c r="S27" i="135"/>
  <c r="U27" i="135" s="1"/>
  <c r="S55" i="135"/>
  <c r="U55" i="135" s="1"/>
  <c r="S73" i="135"/>
  <c r="U73" i="135" s="1"/>
  <c r="S99" i="135"/>
  <c r="U99" i="135" s="1"/>
  <c r="S117" i="135"/>
  <c r="U117" i="135" s="1"/>
  <c r="S142" i="135"/>
  <c r="U142" i="135" s="1"/>
  <c r="S172" i="135"/>
  <c r="U172" i="135" s="1"/>
  <c r="S221" i="135"/>
  <c r="U221" i="135" s="1"/>
  <c r="S288" i="135"/>
  <c r="U288" i="135" s="1"/>
  <c r="S344" i="135"/>
  <c r="U344" i="135" s="1"/>
  <c r="S173" i="135"/>
  <c r="U173" i="135" s="1"/>
  <c r="S197" i="135"/>
  <c r="U197" i="135" s="1"/>
  <c r="S229" i="135"/>
  <c r="U229" i="135" s="1"/>
  <c r="S257" i="135"/>
  <c r="U257" i="135" s="1"/>
  <c r="S298" i="135"/>
  <c r="U298" i="135" s="1"/>
  <c r="S389" i="135"/>
  <c r="U389" i="135" s="1"/>
  <c r="S168" i="135"/>
  <c r="U168" i="135" s="1"/>
  <c r="S193" i="135"/>
  <c r="U193" i="135" s="1"/>
  <c r="S259" i="135"/>
  <c r="U259" i="135" s="1"/>
  <c r="S296" i="135"/>
  <c r="U296" i="135" s="1"/>
  <c r="S413" i="135"/>
  <c r="U413" i="135" s="1"/>
  <c r="S400" i="135"/>
  <c r="U400" i="135" s="1"/>
  <c r="S216" i="135"/>
  <c r="U216" i="135" s="1"/>
  <c r="S254" i="135"/>
  <c r="U254" i="135" s="1"/>
  <c r="S325" i="135"/>
  <c r="U325" i="135" s="1"/>
  <c r="S370" i="135"/>
  <c r="U370" i="135" s="1"/>
  <c r="S414" i="135"/>
  <c r="U414" i="135" s="1"/>
  <c r="S183" i="135"/>
  <c r="U183" i="135" s="1"/>
  <c r="S222" i="135"/>
  <c r="U222" i="135" s="1"/>
  <c r="S269" i="135"/>
  <c r="U269" i="135" s="1"/>
  <c r="S317" i="135"/>
  <c r="U317" i="135" s="1"/>
  <c r="S362" i="135"/>
  <c r="U362" i="135" s="1"/>
  <c r="S447" i="135"/>
  <c r="U447" i="135" s="1"/>
  <c r="S368" i="135"/>
  <c r="U368" i="135" s="1"/>
  <c r="S428" i="135"/>
  <c r="U428" i="135" s="1"/>
  <c r="S451" i="135"/>
  <c r="U451" i="135" s="1"/>
  <c r="S434" i="135"/>
  <c r="U434" i="135" s="1"/>
  <c r="S355" i="135"/>
  <c r="U355" i="135" s="1"/>
  <c r="S390" i="135"/>
  <c r="U390" i="135" s="1"/>
  <c r="S436" i="135"/>
  <c r="U436" i="135" s="1"/>
  <c r="S442" i="135"/>
  <c r="U442" i="135" s="1"/>
  <c r="S224" i="135"/>
  <c r="U224" i="135" s="1"/>
  <c r="S244" i="135"/>
  <c r="U244" i="135" s="1"/>
  <c r="S262" i="135"/>
  <c r="U262" i="135" s="1"/>
  <c r="S306" i="135"/>
  <c r="U306" i="135" s="1"/>
  <c r="S326" i="135"/>
  <c r="U326" i="135" s="1"/>
  <c r="S357" i="135"/>
  <c r="U357" i="135" s="1"/>
  <c r="S371" i="135"/>
  <c r="U371" i="135" s="1"/>
  <c r="S396" i="135"/>
  <c r="U396" i="135" s="1"/>
  <c r="S432" i="135"/>
  <c r="U432" i="135" s="1"/>
  <c r="S170" i="135"/>
  <c r="U170" i="135" s="1"/>
  <c r="S187" i="135"/>
  <c r="U187" i="135" s="1"/>
  <c r="S209" i="135"/>
  <c r="U209" i="135" s="1"/>
  <c r="S231" i="135"/>
  <c r="U231" i="135" s="1"/>
  <c r="S256" i="135"/>
  <c r="U256" i="135" s="1"/>
  <c r="S282" i="135"/>
  <c r="U282" i="135" s="1"/>
  <c r="S299" i="135"/>
  <c r="U299" i="135" s="1"/>
  <c r="S321" i="135"/>
  <c r="U321" i="135" s="1"/>
  <c r="S343" i="135"/>
  <c r="U343" i="135" s="1"/>
  <c r="S367" i="135"/>
  <c r="U367" i="135" s="1"/>
  <c r="S405" i="135"/>
  <c r="U405" i="135" s="1"/>
  <c r="S439" i="135"/>
  <c r="U439" i="135" s="1"/>
  <c r="S329" i="135"/>
  <c r="U329" i="135" s="1"/>
  <c r="S359" i="135"/>
  <c r="U359" i="135" s="1"/>
  <c r="S372" i="135"/>
  <c r="U372" i="135" s="1"/>
  <c r="S394" i="135"/>
  <c r="U394" i="135" s="1"/>
  <c r="S412" i="135"/>
  <c r="U412" i="135" s="1"/>
  <c r="S438" i="135"/>
  <c r="U438" i="135" s="1"/>
  <c r="S429" i="135"/>
  <c r="U429" i="135" s="1"/>
  <c r="S446" i="135"/>
  <c r="U446" i="135" s="1"/>
  <c r="S441" i="135"/>
  <c r="U441" i="135" s="1"/>
  <c r="S401" i="135"/>
  <c r="U401" i="135" s="1"/>
  <c r="S211" i="135"/>
  <c r="U211" i="135" s="1"/>
  <c r="S232" i="135"/>
  <c r="U232" i="135" s="1"/>
  <c r="S252" i="135"/>
  <c r="U252" i="135" s="1"/>
  <c r="S284" i="135"/>
  <c r="U284" i="135" s="1"/>
  <c r="S318" i="135"/>
  <c r="U318" i="135" s="1"/>
  <c r="S339" i="135"/>
  <c r="U339" i="135" s="1"/>
  <c r="S366" i="135"/>
  <c r="U366" i="135" s="1"/>
  <c r="S379" i="135"/>
  <c r="U379" i="135" s="1"/>
  <c r="S402" i="135"/>
  <c r="U402" i="135" s="1"/>
  <c r="S445" i="135"/>
  <c r="U445" i="135" s="1"/>
  <c r="S179" i="135"/>
  <c r="U179" i="135" s="1"/>
  <c r="S196" i="135"/>
  <c r="U196" i="135" s="1"/>
  <c r="S218" i="135"/>
  <c r="U218" i="135" s="1"/>
  <c r="S247" i="135"/>
  <c r="U247" i="135" s="1"/>
  <c r="S265" i="135"/>
  <c r="U265" i="135" s="1"/>
  <c r="U272" i="135" s="1"/>
  <c r="S291" i="135"/>
  <c r="U291" i="135" s="1"/>
  <c r="S308" i="135"/>
  <c r="U308" i="135" s="1"/>
  <c r="S335" i="135"/>
  <c r="U335" i="135" s="1"/>
  <c r="S356" i="135"/>
  <c r="U356" i="135" s="1"/>
  <c r="S393" i="135"/>
  <c r="U393" i="135" s="1"/>
  <c r="S416" i="135"/>
  <c r="U416" i="135" s="1"/>
  <c r="S454" i="135"/>
  <c r="U454" i="135" s="1"/>
  <c r="S342" i="135"/>
  <c r="U342" i="135" s="1"/>
  <c r="S364" i="135"/>
  <c r="U364" i="135" s="1"/>
  <c r="S381" i="135"/>
  <c r="U381" i="135" s="1"/>
  <c r="S403" i="135"/>
  <c r="U403" i="135" s="1"/>
  <c r="S430" i="135"/>
  <c r="U430" i="135" s="1"/>
  <c r="S448" i="135"/>
  <c r="U448" i="135" s="1"/>
  <c r="S437" i="135"/>
  <c r="U437" i="135" s="1"/>
  <c r="D14" i="127"/>
  <c r="U160" i="135" l="1"/>
  <c r="U81" i="135"/>
  <c r="U346" i="135"/>
  <c r="U41" i="135"/>
  <c r="U71" i="135"/>
  <c r="U198" i="135"/>
  <c r="U410" i="135"/>
  <c r="U309" i="135"/>
  <c r="U150" i="135"/>
  <c r="U121" i="135"/>
  <c r="U111" i="135"/>
  <c r="U31" i="135"/>
  <c r="U188" i="135"/>
  <c r="U457" i="135"/>
  <c r="U263" i="135"/>
  <c r="U226" i="135"/>
  <c r="U418" i="135"/>
  <c r="U300" i="135"/>
  <c r="U374" i="135"/>
  <c r="U235" i="135"/>
  <c r="U449" i="135"/>
  <c r="U382" i="135"/>
  <c r="U337" i="135"/>
  <c r="L31" i="34"/>
  <c r="U465" i="135" l="1"/>
  <c r="U466" i="135"/>
  <c r="K57" i="122"/>
  <c r="K64" i="122" s="1"/>
  <c r="F79" i="86"/>
  <c r="I12" i="130" l="1"/>
  <c r="H22" i="46"/>
  <c r="D25" i="97" l="1"/>
  <c r="C11" i="87" l="1"/>
  <c r="O17" i="124" l="1"/>
  <c r="P17" i="124" s="1"/>
  <c r="L17" i="124"/>
  <c r="K17" i="124"/>
  <c r="Q17" i="124" l="1"/>
  <c r="T17" i="124" s="1"/>
  <c r="T20" i="124" s="1"/>
  <c r="F9" i="127"/>
  <c r="F28" i="38"/>
  <c r="F27" i="38"/>
  <c r="F26" i="38"/>
  <c r="F24" i="38"/>
  <c r="F9" i="33"/>
  <c r="H8" i="33" s="1"/>
  <c r="C15" i="51" l="1"/>
  <c r="C16" i="51" s="1"/>
  <c r="C17" i="51" s="1"/>
  <c r="C18" i="51" s="1"/>
  <c r="C19" i="51" s="1"/>
  <c r="C20" i="51" s="1"/>
  <c r="C21" i="51" s="1"/>
  <c r="C22" i="51" s="1"/>
  <c r="C23" i="51" s="1"/>
  <c r="C24" i="51" s="1"/>
  <c r="C25" i="51" s="1"/>
  <c r="C26" i="51" s="1"/>
  <c r="C14" i="51"/>
  <c r="E84" i="114" l="1"/>
  <c r="E76" i="114"/>
  <c r="E66" i="114"/>
  <c r="E64" i="114"/>
  <c r="E58" i="114"/>
  <c r="E49" i="114"/>
  <c r="E40" i="114"/>
  <c r="E24" i="114"/>
  <c r="E15" i="114"/>
  <c r="E17" i="114" s="1"/>
  <c r="E50" i="114" l="1"/>
  <c r="E85" i="114"/>
  <c r="D1" i="119"/>
  <c r="E12" i="88" l="1"/>
  <c r="J12" i="88" s="1"/>
  <c r="E17" i="46" l="1"/>
  <c r="E16" i="46"/>
  <c r="D17" i="46"/>
  <c r="D16" i="46"/>
  <c r="C16" i="46"/>
  <c r="G11" i="46"/>
  <c r="J10" i="26" l="1"/>
  <c r="E24" i="97" l="1"/>
  <c r="E25" i="97" s="1"/>
  <c r="C25" i="97"/>
  <c r="E17" i="96"/>
  <c r="C18" i="96"/>
  <c r="C22" i="96" s="1"/>
  <c r="D28" i="34" l="1"/>
  <c r="D27" i="34"/>
  <c r="D26" i="34"/>
  <c r="D25" i="34"/>
  <c r="D24" i="34"/>
  <c r="D23" i="34"/>
  <c r="D22" i="34"/>
  <c r="D21" i="34"/>
  <c r="D20" i="34"/>
  <c r="D19" i="34"/>
  <c r="D18" i="34"/>
  <c r="D17" i="34"/>
  <c r="P15" i="84" l="1"/>
  <c r="D15" i="81"/>
  <c r="J55" i="122"/>
  <c r="J42" i="122"/>
  <c r="J41" i="122"/>
  <c r="J35" i="122"/>
  <c r="J33" i="122"/>
  <c r="J32" i="122"/>
  <c r="J29" i="122"/>
  <c r="J26" i="122"/>
  <c r="Q52" i="57"/>
  <c r="Q53" i="57"/>
  <c r="Q54" i="57"/>
  <c r="Q56" i="57"/>
  <c r="Q60" i="57"/>
  <c r="Q61" i="57"/>
  <c r="Q62" i="57"/>
  <c r="Q63" i="57"/>
  <c r="Q51" i="57"/>
  <c r="Q43" i="57"/>
  <c r="Q44" i="57"/>
  <c r="Q45" i="57"/>
  <c r="Q31" i="57"/>
  <c r="Q36" i="57"/>
  <c r="Q34" i="57"/>
  <c r="Q33" i="57"/>
  <c r="Q28" i="57"/>
  <c r="Q27" i="57"/>
  <c r="Q55" i="62"/>
  <c r="Q42" i="62"/>
  <c r="Q42" i="57" s="1"/>
  <c r="Q41" i="62"/>
  <c r="Q41" i="57" s="1"/>
  <c r="Q35" i="62"/>
  <c r="Q35" i="57" s="1"/>
  <c r="Q33" i="62"/>
  <c r="Q32" i="62"/>
  <c r="Q32" i="57" s="1"/>
  <c r="Q29" i="62"/>
  <c r="Q29" i="57" s="1"/>
  <c r="Q26" i="62"/>
  <c r="Q26" i="57" s="1"/>
  <c r="E30" i="57"/>
  <c r="F30" i="57"/>
  <c r="G30" i="57"/>
  <c r="H30" i="57"/>
  <c r="I30" i="57"/>
  <c r="J30" i="57"/>
  <c r="K30" i="57"/>
  <c r="L30" i="57"/>
  <c r="M30" i="57"/>
  <c r="N30" i="57"/>
  <c r="O30" i="57"/>
  <c r="D30" i="57"/>
  <c r="P30" i="57" s="1"/>
  <c r="A24" i="57"/>
  <c r="A25" i="57" s="1"/>
  <c r="A26" i="57" s="1"/>
  <c r="A27" i="57" s="1"/>
  <c r="A28" i="57" s="1"/>
  <c r="A29" i="57" s="1"/>
  <c r="A30" i="57" s="1"/>
  <c r="A31" i="57" s="1"/>
  <c r="A32" i="57" s="1"/>
  <c r="A33" i="57" s="1"/>
  <c r="A34" i="57" s="1"/>
  <c r="A35" i="57" s="1"/>
  <c r="A36" i="57" s="1"/>
  <c r="E16" i="57"/>
  <c r="F16" i="57"/>
  <c r="G16" i="57"/>
  <c r="H16" i="57"/>
  <c r="I16" i="57"/>
  <c r="J16" i="57"/>
  <c r="K16" i="57"/>
  <c r="L16" i="57"/>
  <c r="M16" i="57"/>
  <c r="N16" i="57"/>
  <c r="O16" i="57"/>
  <c r="E17" i="57"/>
  <c r="F17" i="57"/>
  <c r="G17" i="57"/>
  <c r="H17" i="57"/>
  <c r="I17" i="57"/>
  <c r="J17" i="57"/>
  <c r="K17" i="57"/>
  <c r="L17" i="57"/>
  <c r="M17" i="57"/>
  <c r="N17" i="57"/>
  <c r="O17" i="57"/>
  <c r="E18" i="57"/>
  <c r="F18" i="57"/>
  <c r="G18" i="57"/>
  <c r="H18" i="57"/>
  <c r="I18" i="57"/>
  <c r="J18" i="57"/>
  <c r="K18" i="57"/>
  <c r="L18" i="57"/>
  <c r="M18" i="57"/>
  <c r="N18" i="57"/>
  <c r="O18" i="57"/>
  <c r="E19" i="57"/>
  <c r="F19" i="57"/>
  <c r="G19" i="57"/>
  <c r="H19" i="57"/>
  <c r="I19" i="57"/>
  <c r="J19" i="57"/>
  <c r="K19" i="57"/>
  <c r="L19" i="57"/>
  <c r="M19" i="57"/>
  <c r="N19" i="57"/>
  <c r="O19" i="57"/>
  <c r="E20" i="57"/>
  <c r="F20" i="57"/>
  <c r="G20" i="57"/>
  <c r="H20" i="57"/>
  <c r="I20" i="57"/>
  <c r="J20" i="57"/>
  <c r="K20" i="57"/>
  <c r="L20" i="57"/>
  <c r="M20" i="57"/>
  <c r="N20" i="57"/>
  <c r="O20" i="57"/>
  <c r="E21" i="57"/>
  <c r="F21" i="57"/>
  <c r="G21" i="57"/>
  <c r="H21" i="57"/>
  <c r="I21" i="57"/>
  <c r="J21" i="57"/>
  <c r="K21" i="57"/>
  <c r="L21" i="57"/>
  <c r="M21" i="57"/>
  <c r="N21" i="57"/>
  <c r="O21" i="57"/>
  <c r="D21" i="57"/>
  <c r="D20" i="57"/>
  <c r="D19" i="57"/>
  <c r="D17" i="57"/>
  <c r="D18" i="57"/>
  <c r="D16" i="57"/>
  <c r="A14" i="57"/>
  <c r="A15" i="57" s="1"/>
  <c r="A16" i="57" s="1"/>
  <c r="A17" i="57" s="1"/>
  <c r="A18" i="57" s="1"/>
  <c r="A19" i="57" s="1"/>
  <c r="A20" i="57" s="1"/>
  <c r="A21" i="57" s="1"/>
  <c r="A22" i="57" s="1"/>
  <c r="A24" i="122"/>
  <c r="A25" i="122" s="1"/>
  <c r="A26" i="122" s="1"/>
  <c r="A27" i="122" s="1"/>
  <c r="A28" i="122" s="1"/>
  <c r="A29" i="122" s="1"/>
  <c r="A30" i="122" s="1"/>
  <c r="A31" i="122" s="1"/>
  <c r="A32" i="122" s="1"/>
  <c r="A33" i="122" s="1"/>
  <c r="A34" i="122" s="1"/>
  <c r="A35" i="122" s="1"/>
  <c r="A36" i="122" s="1"/>
  <c r="A37" i="122" s="1"/>
  <c r="A38" i="122" s="1"/>
  <c r="A39" i="122" s="1"/>
  <c r="A40" i="122" s="1"/>
  <c r="A41" i="122" s="1"/>
  <c r="A42" i="122" s="1"/>
  <c r="A43" i="122" s="1"/>
  <c r="A44" i="122" s="1"/>
  <c r="A45" i="122" s="1"/>
  <c r="A46" i="122" s="1"/>
  <c r="A48" i="122" s="1"/>
  <c r="A50" i="122" s="1"/>
  <c r="A51" i="122" s="1"/>
  <c r="A52" i="122" s="1"/>
  <c r="A53" i="122" s="1"/>
  <c r="A54" i="122" s="1"/>
  <c r="A55" i="122" s="1"/>
  <c r="A56" i="122" s="1"/>
  <c r="A57" i="122" s="1"/>
  <c r="A58" i="122" s="1"/>
  <c r="A59" i="122" s="1"/>
  <c r="A60" i="122" s="1"/>
  <c r="A61" i="122" s="1"/>
  <c r="A62" i="122" s="1"/>
  <c r="A63" i="122" s="1"/>
  <c r="A64" i="122" s="1"/>
  <c r="A65" i="122" s="1"/>
  <c r="A66" i="122" s="1"/>
  <c r="F71" i="86" l="1"/>
  <c r="F56" i="86"/>
  <c r="I59" i="122" s="1"/>
  <c r="F47" i="86"/>
  <c r="D13" i="81" s="1"/>
  <c r="F61" i="129"/>
  <c r="B61" i="129"/>
  <c r="B60" i="129"/>
  <c r="A14" i="81"/>
  <c r="A15" i="81" s="1"/>
  <c r="A16" i="81" s="1"/>
  <c r="A14" i="121"/>
  <c r="A14" i="85"/>
  <c r="P13" i="84"/>
  <c r="E17" i="79"/>
  <c r="A14" i="126"/>
  <c r="A15" i="126" s="1"/>
  <c r="A16" i="126" s="1"/>
  <c r="A17" i="126" s="1"/>
  <c r="A18" i="126" s="1"/>
  <c r="A19" i="126" s="1"/>
  <c r="A14" i="125"/>
  <c r="A15" i="125" s="1"/>
  <c r="A16" i="125" s="1"/>
  <c r="A17" i="125" s="1"/>
  <c r="A18" i="125" s="1"/>
  <c r="A19" i="125" s="1"/>
  <c r="P21" i="65"/>
  <c r="R21" i="65" s="1"/>
  <c r="P20" i="65"/>
  <c r="R20" i="65" s="1"/>
  <c r="P19" i="65"/>
  <c r="R19" i="65" s="1"/>
  <c r="P18" i="65"/>
  <c r="R18" i="65" s="1"/>
  <c r="P17" i="65"/>
  <c r="R17" i="65" s="1"/>
  <c r="P16" i="65"/>
  <c r="R16" i="65" s="1"/>
  <c r="P15" i="65"/>
  <c r="R15" i="65" s="1"/>
  <c r="P21" i="62"/>
  <c r="R21" i="62" s="1"/>
  <c r="P20" i="62"/>
  <c r="R20" i="62" s="1"/>
  <c r="P19" i="62"/>
  <c r="R19" i="62" s="1"/>
  <c r="P18" i="62"/>
  <c r="R18" i="62" s="1"/>
  <c r="P17" i="62"/>
  <c r="R17" i="62" s="1"/>
  <c r="P16" i="62"/>
  <c r="R16" i="62" s="1"/>
  <c r="P15" i="62"/>
  <c r="R15" i="62" s="1"/>
  <c r="K16" i="41" l="1"/>
  <c r="I21" i="88"/>
  <c r="H21" i="88"/>
  <c r="I20" i="88"/>
  <c r="H20" i="88"/>
  <c r="F19" i="87" l="1"/>
  <c r="F18" i="87"/>
  <c r="E20" i="87"/>
  <c r="E19" i="87"/>
  <c r="E18" i="87"/>
  <c r="E17" i="87"/>
  <c r="D19" i="87"/>
  <c r="D18" i="87"/>
  <c r="A18" i="87"/>
  <c r="A19" i="87" s="1"/>
  <c r="A20" i="87" s="1"/>
  <c r="A21" i="87" s="1"/>
  <c r="A22" i="87" s="1"/>
  <c r="A25" i="87" s="1"/>
  <c r="H28" i="46"/>
  <c r="G27" i="46"/>
  <c r="G28" i="46" s="1"/>
  <c r="J28" i="46"/>
  <c r="F28" i="46"/>
  <c r="E28" i="46"/>
  <c r="D28" i="46"/>
  <c r="C28" i="46"/>
  <c r="I28" i="46"/>
  <c r="A17" i="41"/>
  <c r="A18" i="41" s="1"/>
  <c r="A19" i="41" s="1"/>
  <c r="A20" i="41" s="1"/>
  <c r="F20" i="41"/>
  <c r="F23" i="41" s="1"/>
  <c r="K27" i="46" l="1"/>
  <c r="K28" i="46" s="1"/>
  <c r="D84" i="114" l="1"/>
  <c r="D76" i="114"/>
  <c r="D66" i="114"/>
  <c r="D64" i="114"/>
  <c r="D58" i="114"/>
  <c r="C15" i="127" s="1"/>
  <c r="D49" i="114"/>
  <c r="D40" i="114"/>
  <c r="D24" i="114"/>
  <c r="D15" i="114"/>
  <c r="D17" i="114" s="1"/>
  <c r="D50" i="114" l="1"/>
  <c r="D85" i="114"/>
  <c r="E11" i="87"/>
  <c r="A7" i="126"/>
  <c r="A6" i="124" l="1"/>
  <c r="A6" i="127"/>
  <c r="C11" i="46"/>
  <c r="G11" i="41"/>
  <c r="D10" i="38"/>
  <c r="E19" i="96" l="1"/>
  <c r="C14" i="97"/>
  <c r="E14" i="97" s="1"/>
  <c r="E15" i="97"/>
  <c r="A15" i="97"/>
  <c r="A16" i="97" s="1"/>
  <c r="A17" i="97" s="1"/>
  <c r="A18" i="97" s="1"/>
  <c r="A19" i="97" s="1"/>
  <c r="A20" i="97" s="1"/>
  <c r="A21" i="97" s="1"/>
  <c r="A22" i="97" s="1"/>
  <c r="A23" i="97" s="1"/>
  <c r="A24" i="97" s="1"/>
  <c r="A25" i="97" s="1"/>
  <c r="A26" i="97" s="1"/>
  <c r="D31" i="34"/>
  <c r="E14" i="96"/>
  <c r="E16" i="96"/>
  <c r="F31" i="123"/>
  <c r="F32" i="123" s="1"/>
  <c r="A6" i="38"/>
  <c r="P30" i="65"/>
  <c r="A7" i="88"/>
  <c r="A6" i="87"/>
  <c r="F40" i="86"/>
  <c r="Q55" i="65" s="1"/>
  <c r="Q55" i="57" s="1"/>
  <c r="C10" i="127"/>
  <c r="A6" i="46"/>
  <c r="E31" i="34"/>
  <c r="F31" i="34"/>
  <c r="G31" i="34"/>
  <c r="H31" i="34"/>
  <c r="H32" i="34" s="1"/>
  <c r="H33" i="34" s="1"/>
  <c r="I31" i="34"/>
  <c r="J31" i="34"/>
  <c r="K31" i="34"/>
  <c r="K32" i="34" s="1"/>
  <c r="O16" i="124"/>
  <c r="O20" i="124" s="1"/>
  <c r="L16" i="124"/>
  <c r="G20" i="87"/>
  <c r="A6" i="56"/>
  <c r="A4" i="47"/>
  <c r="A4" i="48" s="1"/>
  <c r="A4" i="49" s="1"/>
  <c r="G24" i="38"/>
  <c r="E27" i="32"/>
  <c r="F15" i="127"/>
  <c r="C35" i="128"/>
  <c r="C37" i="128"/>
  <c r="C39" i="128" s="1"/>
  <c r="C26" i="128" s="1"/>
  <c r="C29" i="128" s="1"/>
  <c r="D15" i="128" s="1"/>
  <c r="D1" i="1"/>
  <c r="Q1" i="125" s="1"/>
  <c r="E9" i="128"/>
  <c r="C10" i="128"/>
  <c r="A14" i="128"/>
  <c r="A15" i="128" s="1"/>
  <c r="A16" i="128" s="1"/>
  <c r="D14" i="128"/>
  <c r="E14" i="128" s="1"/>
  <c r="C16" i="128"/>
  <c r="C27" i="51"/>
  <c r="C28" i="51" s="1"/>
  <c r="C30" i="51" s="1"/>
  <c r="D13" i="49" s="1"/>
  <c r="D27" i="51"/>
  <c r="D28" i="51" s="1"/>
  <c r="D30" i="51" s="1"/>
  <c r="D14" i="49" s="1"/>
  <c r="G14" i="38"/>
  <c r="G15" i="38"/>
  <c r="G16" i="38"/>
  <c r="G20" i="38"/>
  <c r="G21" i="38"/>
  <c r="G22" i="38"/>
  <c r="G23" i="38"/>
  <c r="G25" i="38"/>
  <c r="C42" i="87" s="1"/>
  <c r="G26" i="38"/>
  <c r="C18" i="87" s="1"/>
  <c r="H18" i="87" s="1"/>
  <c r="G18" i="87" s="1"/>
  <c r="G27" i="38"/>
  <c r="C19" i="87" s="1"/>
  <c r="H19" i="87" s="1"/>
  <c r="G19" i="87" s="1"/>
  <c r="G28" i="38"/>
  <c r="G29" i="38"/>
  <c r="G30" i="38"/>
  <c r="C20" i="87" s="1"/>
  <c r="G34" i="38"/>
  <c r="G35" i="38"/>
  <c r="C26" i="87" s="1"/>
  <c r="G36" i="38"/>
  <c r="G37" i="38"/>
  <c r="C28" i="87" s="1"/>
  <c r="G38" i="38"/>
  <c r="C29" i="87" s="1"/>
  <c r="G39" i="38"/>
  <c r="G40" i="38"/>
  <c r="G41" i="38"/>
  <c r="G42" i="38"/>
  <c r="G43" i="38"/>
  <c r="C31" i="87" s="1"/>
  <c r="G44" i="38"/>
  <c r="P26" i="62"/>
  <c r="R26" i="62" s="1"/>
  <c r="P27" i="62"/>
  <c r="R27" i="62" s="1"/>
  <c r="P28" i="62"/>
  <c r="R28" i="62" s="1"/>
  <c r="P29" i="62"/>
  <c r="R29" i="62" s="1"/>
  <c r="P30" i="62"/>
  <c r="R30" i="62" s="1"/>
  <c r="P31" i="62"/>
  <c r="R31" i="62" s="1"/>
  <c r="P32" i="62"/>
  <c r="R32" i="62" s="1"/>
  <c r="P33" i="62"/>
  <c r="R33" i="62" s="1"/>
  <c r="P34" i="62"/>
  <c r="R34" i="62" s="1"/>
  <c r="P35" i="62"/>
  <c r="R35" i="62" s="1"/>
  <c r="P36" i="62"/>
  <c r="R36" i="62" s="1"/>
  <c r="P39" i="62"/>
  <c r="R39" i="62" s="1"/>
  <c r="P40" i="62"/>
  <c r="R40" i="62" s="1"/>
  <c r="P41" i="62"/>
  <c r="R41" i="62" s="1"/>
  <c r="P42" i="62"/>
  <c r="R42" i="62"/>
  <c r="P43" i="62"/>
  <c r="R43" i="62" s="1"/>
  <c r="P44" i="62"/>
  <c r="R44" i="62" s="1"/>
  <c r="P45" i="62"/>
  <c r="R45" i="62" s="1"/>
  <c r="D31" i="123"/>
  <c r="E31" i="123"/>
  <c r="G31" i="123"/>
  <c r="H31" i="123"/>
  <c r="H32" i="123"/>
  <c r="I31" i="123"/>
  <c r="I33" i="123" s="1"/>
  <c r="J31" i="123"/>
  <c r="K31" i="123"/>
  <c r="K32" i="123"/>
  <c r="F25" i="32"/>
  <c r="E18" i="33"/>
  <c r="D27" i="32" s="1"/>
  <c r="D19" i="33"/>
  <c r="D26" i="33" s="1"/>
  <c r="A14" i="127"/>
  <c r="A15" i="127" s="1"/>
  <c r="A16" i="127" s="1"/>
  <c r="D16" i="127"/>
  <c r="G16" i="46"/>
  <c r="G17" i="46"/>
  <c r="G18" i="46"/>
  <c r="K18" i="46" s="1"/>
  <c r="D21" i="11" s="1"/>
  <c r="D14" i="33"/>
  <c r="F15" i="33"/>
  <c r="H15" i="33"/>
  <c r="F16" i="33"/>
  <c r="H16" i="33" s="1"/>
  <c r="F17" i="33"/>
  <c r="H17" i="33"/>
  <c r="F20" i="33"/>
  <c r="H20" i="33" s="1"/>
  <c r="F21" i="33"/>
  <c r="H21" i="33" s="1"/>
  <c r="F22" i="33"/>
  <c r="H22" i="33" s="1"/>
  <c r="F23" i="33"/>
  <c r="H23" i="33" s="1"/>
  <c r="F24" i="33"/>
  <c r="H24" i="33" s="1"/>
  <c r="F25" i="33"/>
  <c r="H25" i="33"/>
  <c r="D27" i="33"/>
  <c r="F28" i="33"/>
  <c r="H28" i="33"/>
  <c r="D39" i="57"/>
  <c r="E39" i="57"/>
  <c r="F39" i="57"/>
  <c r="G39" i="57"/>
  <c r="H39" i="57"/>
  <c r="I39" i="57"/>
  <c r="J39" i="57"/>
  <c r="K39" i="57"/>
  <c r="L39" i="57"/>
  <c r="M39" i="57"/>
  <c r="N39" i="57"/>
  <c r="O39" i="57"/>
  <c r="D40" i="57"/>
  <c r="E40" i="57"/>
  <c r="F40" i="57"/>
  <c r="G40" i="57"/>
  <c r="H40" i="57"/>
  <c r="I40" i="57"/>
  <c r="J40" i="57"/>
  <c r="K40" i="57"/>
  <c r="L40" i="57"/>
  <c r="M40" i="57"/>
  <c r="N40" i="57"/>
  <c r="O40" i="57"/>
  <c r="D42" i="57"/>
  <c r="E42" i="57"/>
  <c r="F42" i="57"/>
  <c r="G42" i="57"/>
  <c r="H42" i="57"/>
  <c r="I42" i="57"/>
  <c r="J42" i="57"/>
  <c r="K42" i="57"/>
  <c r="L42" i="57"/>
  <c r="M42" i="57"/>
  <c r="N42" i="57"/>
  <c r="O42" i="57"/>
  <c r="D43" i="57"/>
  <c r="E43" i="57"/>
  <c r="F43" i="57"/>
  <c r="G43" i="57"/>
  <c r="H43" i="57"/>
  <c r="I43" i="57"/>
  <c r="J43" i="57"/>
  <c r="K43" i="57"/>
  <c r="L43" i="57"/>
  <c r="M43" i="57"/>
  <c r="N43" i="57"/>
  <c r="O43" i="57"/>
  <c r="D44" i="57"/>
  <c r="E44" i="57"/>
  <c r="F44" i="57"/>
  <c r="G44" i="57"/>
  <c r="H44" i="57"/>
  <c r="I44" i="57"/>
  <c r="J44" i="57"/>
  <c r="K44" i="57"/>
  <c r="L44" i="57"/>
  <c r="M44" i="57"/>
  <c r="N44" i="57"/>
  <c r="O44" i="57"/>
  <c r="D45" i="57"/>
  <c r="E45" i="57"/>
  <c r="F45" i="57"/>
  <c r="G45" i="57"/>
  <c r="H45" i="57"/>
  <c r="I45" i="57"/>
  <c r="J45" i="57"/>
  <c r="K45" i="57"/>
  <c r="L45" i="57"/>
  <c r="M45" i="57"/>
  <c r="N45" i="57"/>
  <c r="O45" i="57"/>
  <c r="D41" i="57"/>
  <c r="E41" i="57"/>
  <c r="F41" i="57"/>
  <c r="G41" i="57"/>
  <c r="H41" i="57"/>
  <c r="I41" i="57"/>
  <c r="J41" i="57"/>
  <c r="K41" i="57"/>
  <c r="L41" i="57"/>
  <c r="M41" i="57"/>
  <c r="N41" i="57"/>
  <c r="O41" i="57"/>
  <c r="D27" i="57"/>
  <c r="E27" i="57"/>
  <c r="F27" i="57"/>
  <c r="G27" i="57"/>
  <c r="H27" i="57"/>
  <c r="I27" i="57"/>
  <c r="J27" i="57"/>
  <c r="K27" i="57"/>
  <c r="L27" i="57"/>
  <c r="M27" i="57"/>
  <c r="N27" i="57"/>
  <c r="O27" i="57"/>
  <c r="D28" i="57"/>
  <c r="E28" i="57"/>
  <c r="F28" i="57"/>
  <c r="G28" i="57"/>
  <c r="H28" i="57"/>
  <c r="I28" i="57"/>
  <c r="J28" i="57"/>
  <c r="K28" i="57"/>
  <c r="L28" i="57"/>
  <c r="M28" i="57"/>
  <c r="N28" i="57"/>
  <c r="O28" i="57"/>
  <c r="D29" i="57"/>
  <c r="E29" i="57"/>
  <c r="F29" i="57"/>
  <c r="G29" i="57"/>
  <c r="H29" i="57"/>
  <c r="I29" i="57"/>
  <c r="J29" i="57"/>
  <c r="K29" i="57"/>
  <c r="L29" i="57"/>
  <c r="M29" i="57"/>
  <c r="N29" i="57"/>
  <c r="O29" i="57"/>
  <c r="D31" i="57"/>
  <c r="E31" i="57"/>
  <c r="F31" i="57"/>
  <c r="G31" i="57"/>
  <c r="H31" i="57"/>
  <c r="I31" i="57"/>
  <c r="J31" i="57"/>
  <c r="K31" i="57"/>
  <c r="L31" i="57"/>
  <c r="M31" i="57"/>
  <c r="N31" i="57"/>
  <c r="O31" i="57"/>
  <c r="D32" i="57"/>
  <c r="E32" i="57"/>
  <c r="F32" i="57"/>
  <c r="G32" i="57"/>
  <c r="H32" i="57"/>
  <c r="I32" i="57"/>
  <c r="J32" i="57"/>
  <c r="K32" i="57"/>
  <c r="L32" i="57"/>
  <c r="M32" i="57"/>
  <c r="N32" i="57"/>
  <c r="O32" i="57"/>
  <c r="D33" i="57"/>
  <c r="E33" i="57"/>
  <c r="F33" i="57"/>
  <c r="G33" i="57"/>
  <c r="H33" i="57"/>
  <c r="I33" i="57"/>
  <c r="J33" i="57"/>
  <c r="K33" i="57"/>
  <c r="L33" i="57"/>
  <c r="M33" i="57"/>
  <c r="N33" i="57"/>
  <c r="O33" i="57"/>
  <c r="D34" i="57"/>
  <c r="E34" i="57"/>
  <c r="F34" i="57"/>
  <c r="G34" i="57"/>
  <c r="H34" i="57"/>
  <c r="I34" i="57"/>
  <c r="J34" i="57"/>
  <c r="K34" i="57"/>
  <c r="L34" i="57"/>
  <c r="M34" i="57"/>
  <c r="N34" i="57"/>
  <c r="O34" i="57"/>
  <c r="D35" i="57"/>
  <c r="E35" i="57"/>
  <c r="F35" i="57"/>
  <c r="G35" i="57"/>
  <c r="H35" i="57"/>
  <c r="I35" i="57"/>
  <c r="J35" i="57"/>
  <c r="K35" i="57"/>
  <c r="L35" i="57"/>
  <c r="M35" i="57"/>
  <c r="N35" i="57"/>
  <c r="O35" i="57"/>
  <c r="D36" i="57"/>
  <c r="E36" i="57"/>
  <c r="F36" i="57"/>
  <c r="G36" i="57"/>
  <c r="H36" i="57"/>
  <c r="I36" i="57"/>
  <c r="J36" i="57"/>
  <c r="K36" i="57"/>
  <c r="L36" i="57"/>
  <c r="M36" i="57"/>
  <c r="N36" i="57"/>
  <c r="O36" i="57"/>
  <c r="D26" i="57"/>
  <c r="E26" i="57"/>
  <c r="F26" i="57"/>
  <c r="G26" i="57"/>
  <c r="H26" i="57"/>
  <c r="I26" i="57"/>
  <c r="J26" i="57"/>
  <c r="K26" i="57"/>
  <c r="L26" i="57"/>
  <c r="M26" i="57"/>
  <c r="N26" i="57"/>
  <c r="O26" i="57"/>
  <c r="D51" i="57"/>
  <c r="E51" i="57"/>
  <c r="F51" i="57"/>
  <c r="G51" i="57"/>
  <c r="H51" i="57"/>
  <c r="I51" i="57"/>
  <c r="J51" i="57"/>
  <c r="K51" i="57"/>
  <c r="L51" i="57"/>
  <c r="M51" i="57"/>
  <c r="N51" i="57"/>
  <c r="O51" i="57"/>
  <c r="D52" i="57"/>
  <c r="E52" i="57"/>
  <c r="F52" i="57"/>
  <c r="G52" i="57"/>
  <c r="H52" i="57"/>
  <c r="I52" i="57"/>
  <c r="J52" i="57"/>
  <c r="K52" i="57"/>
  <c r="L52" i="57"/>
  <c r="M52" i="57"/>
  <c r="N52" i="57"/>
  <c r="O52" i="57"/>
  <c r="D53" i="57"/>
  <c r="E53" i="57"/>
  <c r="F53" i="57"/>
  <c r="G53" i="57"/>
  <c r="H53" i="57"/>
  <c r="I53" i="57"/>
  <c r="J53" i="57"/>
  <c r="K53" i="57"/>
  <c r="L53" i="57"/>
  <c r="M53" i="57"/>
  <c r="N53" i="57"/>
  <c r="O53" i="57"/>
  <c r="D54" i="57"/>
  <c r="E54" i="57"/>
  <c r="F54" i="57"/>
  <c r="G54" i="57"/>
  <c r="H54" i="57"/>
  <c r="I54" i="57"/>
  <c r="J54" i="57"/>
  <c r="K54" i="57"/>
  <c r="L54" i="57"/>
  <c r="M54" i="57"/>
  <c r="N54" i="57"/>
  <c r="O54" i="57"/>
  <c r="D55" i="57"/>
  <c r="E55" i="57"/>
  <c r="F55" i="57"/>
  <c r="G55" i="57"/>
  <c r="H55" i="57"/>
  <c r="I55" i="57"/>
  <c r="J55" i="57"/>
  <c r="K55" i="57"/>
  <c r="L55" i="57"/>
  <c r="M55" i="57"/>
  <c r="N55" i="57"/>
  <c r="O55" i="57"/>
  <c r="D56" i="57"/>
  <c r="E56" i="57"/>
  <c r="F56" i="57"/>
  <c r="G56" i="57"/>
  <c r="H56" i="57"/>
  <c r="I56" i="57"/>
  <c r="J56" i="57"/>
  <c r="K56" i="57"/>
  <c r="L56" i="57"/>
  <c r="M56" i="57"/>
  <c r="N56" i="57"/>
  <c r="O56" i="57"/>
  <c r="D57" i="57"/>
  <c r="E57" i="57"/>
  <c r="F57" i="57"/>
  <c r="G57" i="57"/>
  <c r="H57" i="57"/>
  <c r="I57" i="57"/>
  <c r="J57" i="57"/>
  <c r="K57" i="57"/>
  <c r="L57" i="57"/>
  <c r="M57" i="57"/>
  <c r="N57" i="57"/>
  <c r="O57" i="57"/>
  <c r="D58" i="57"/>
  <c r="E58" i="57"/>
  <c r="F58" i="57"/>
  <c r="G58" i="57"/>
  <c r="H58" i="57"/>
  <c r="I58" i="57"/>
  <c r="J58" i="57"/>
  <c r="K58" i="57"/>
  <c r="L58" i="57"/>
  <c r="M58" i="57"/>
  <c r="N58" i="57"/>
  <c r="O58" i="57"/>
  <c r="D59" i="57"/>
  <c r="E59" i="57"/>
  <c r="F59" i="57"/>
  <c r="G59" i="57"/>
  <c r="H59" i="57"/>
  <c r="I59" i="57"/>
  <c r="J59" i="57"/>
  <c r="K59" i="57"/>
  <c r="L59" i="57"/>
  <c r="M59" i="57"/>
  <c r="N59" i="57"/>
  <c r="O59" i="57"/>
  <c r="F48" i="86"/>
  <c r="D60" i="57"/>
  <c r="E60" i="57"/>
  <c r="F60" i="57"/>
  <c r="G60" i="57"/>
  <c r="H60" i="57"/>
  <c r="I60" i="57"/>
  <c r="J60" i="57"/>
  <c r="K60" i="57"/>
  <c r="L60" i="57"/>
  <c r="M60" i="57"/>
  <c r="N60" i="57"/>
  <c r="O60" i="57"/>
  <c r="D61" i="57"/>
  <c r="E61" i="57"/>
  <c r="F61" i="57"/>
  <c r="G61" i="57"/>
  <c r="H61" i="57"/>
  <c r="I61" i="57"/>
  <c r="J61" i="57"/>
  <c r="K61" i="57"/>
  <c r="L61" i="57"/>
  <c r="M61" i="57"/>
  <c r="N61" i="57"/>
  <c r="O61" i="57"/>
  <c r="D62" i="57"/>
  <c r="E62" i="57"/>
  <c r="F62" i="57"/>
  <c r="G62" i="57"/>
  <c r="H62" i="57"/>
  <c r="I62" i="57"/>
  <c r="J62" i="57"/>
  <c r="K62" i="57"/>
  <c r="L62" i="57"/>
  <c r="M62" i="57"/>
  <c r="N62" i="57"/>
  <c r="O62" i="57"/>
  <c r="D63" i="57"/>
  <c r="E63" i="57"/>
  <c r="F63" i="57"/>
  <c r="G63" i="57"/>
  <c r="H63" i="57"/>
  <c r="I63" i="57"/>
  <c r="J63" i="57"/>
  <c r="K63" i="57"/>
  <c r="L63" i="57"/>
  <c r="M63" i="57"/>
  <c r="N63" i="57"/>
  <c r="O63" i="57"/>
  <c r="D19" i="97"/>
  <c r="C21" i="97"/>
  <c r="C22" i="97" s="1"/>
  <c r="C18" i="97"/>
  <c r="C19" i="97" s="1"/>
  <c r="J13" i="26"/>
  <c r="J16" i="26"/>
  <c r="L16" i="26" s="1"/>
  <c r="G22" i="46"/>
  <c r="G23" i="46" s="1"/>
  <c r="P16" i="84"/>
  <c r="E18" i="79" s="1"/>
  <c r="Q64" i="62"/>
  <c r="P14" i="126"/>
  <c r="Q14" i="126" s="1"/>
  <c r="P15" i="126"/>
  <c r="Q15" i="126" s="1"/>
  <c r="P16" i="126"/>
  <c r="P17" i="126"/>
  <c r="Q17" i="126"/>
  <c r="P18" i="126"/>
  <c r="Q18" i="126" s="1"/>
  <c r="R18" i="126" s="1"/>
  <c r="D19" i="126"/>
  <c r="E19" i="126"/>
  <c r="F19" i="126"/>
  <c r="G19" i="126"/>
  <c r="H19" i="126"/>
  <c r="I19" i="126"/>
  <c r="J19" i="126"/>
  <c r="K19" i="126"/>
  <c r="L19" i="126"/>
  <c r="M19" i="126"/>
  <c r="N19" i="126"/>
  <c r="O19" i="126"/>
  <c r="P14" i="125"/>
  <c r="P15" i="125"/>
  <c r="F15" i="86" s="1"/>
  <c r="P16" i="125"/>
  <c r="P17" i="125"/>
  <c r="F19" i="86" s="1"/>
  <c r="P18" i="125"/>
  <c r="D19" i="125"/>
  <c r="E19" i="125"/>
  <c r="F19" i="125"/>
  <c r="G19" i="125"/>
  <c r="H19" i="125"/>
  <c r="I19" i="125"/>
  <c r="J19" i="125"/>
  <c r="K19" i="125"/>
  <c r="L19" i="125"/>
  <c r="M19" i="125"/>
  <c r="N19" i="125"/>
  <c r="O19" i="125"/>
  <c r="E16" i="88"/>
  <c r="F16" i="88"/>
  <c r="E17" i="88"/>
  <c r="F17" i="88"/>
  <c r="E18" i="88"/>
  <c r="F18" i="88"/>
  <c r="E19" i="88"/>
  <c r="E20" i="88"/>
  <c r="F20" i="88"/>
  <c r="E21" i="88"/>
  <c r="F21" i="88"/>
  <c r="E22" i="88"/>
  <c r="F22" i="88"/>
  <c r="E23" i="88"/>
  <c r="F23" i="88"/>
  <c r="E24" i="88"/>
  <c r="F24" i="88"/>
  <c r="G25" i="88"/>
  <c r="I25" i="88"/>
  <c r="I20" i="41"/>
  <c r="J17" i="26"/>
  <c r="H20" i="41"/>
  <c r="Q46" i="65"/>
  <c r="Q46" i="57"/>
  <c r="J37" i="122"/>
  <c r="J46" i="122"/>
  <c r="J48" i="122" s="1"/>
  <c r="I22" i="122"/>
  <c r="D18" i="33"/>
  <c r="F35" i="88"/>
  <c r="E35" i="88"/>
  <c r="I35" i="88"/>
  <c r="E31" i="88"/>
  <c r="F31" i="88"/>
  <c r="I31" i="88"/>
  <c r="E32" i="88"/>
  <c r="F32" i="88"/>
  <c r="I32" i="88"/>
  <c r="E33" i="88"/>
  <c r="F33" i="88"/>
  <c r="I33" i="88"/>
  <c r="E36" i="88"/>
  <c r="F36" i="88"/>
  <c r="I36" i="88"/>
  <c r="I16" i="88"/>
  <c r="I17" i="88"/>
  <c r="I18" i="88"/>
  <c r="I19" i="88"/>
  <c r="I22" i="88"/>
  <c r="I23" i="88"/>
  <c r="E41" i="88"/>
  <c r="G41" i="88" s="1"/>
  <c r="F41" i="88"/>
  <c r="F44" i="88" s="1"/>
  <c r="I41" i="88"/>
  <c r="E42" i="88"/>
  <c r="F42" i="88"/>
  <c r="I42" i="88"/>
  <c r="E43" i="88"/>
  <c r="F43" i="88"/>
  <c r="I43" i="88"/>
  <c r="E49" i="88"/>
  <c r="E50" i="88"/>
  <c r="C21" i="90" s="1"/>
  <c r="J44" i="88"/>
  <c r="J37" i="88"/>
  <c r="J26" i="88"/>
  <c r="J51" i="88"/>
  <c r="O15" i="84"/>
  <c r="O13" i="84"/>
  <c r="Q13" i="84" s="1"/>
  <c r="O14" i="84"/>
  <c r="Q14" i="84" s="1"/>
  <c r="K34" i="88"/>
  <c r="K33" i="88"/>
  <c r="K30" i="88"/>
  <c r="K24" i="88"/>
  <c r="E30" i="88"/>
  <c r="F30" i="88"/>
  <c r="E34" i="88"/>
  <c r="F34" i="88"/>
  <c r="F51" i="88"/>
  <c r="H43" i="88"/>
  <c r="H42" i="88"/>
  <c r="H41" i="88"/>
  <c r="I34" i="88"/>
  <c r="I30" i="88"/>
  <c r="H36" i="88"/>
  <c r="H35" i="88"/>
  <c r="H34" i="88"/>
  <c r="H33" i="88"/>
  <c r="H32" i="88"/>
  <c r="H31" i="88"/>
  <c r="H30" i="88"/>
  <c r="I24" i="88"/>
  <c r="H25" i="88"/>
  <c r="H24" i="88"/>
  <c r="H23" i="88"/>
  <c r="H22" i="88"/>
  <c r="H19" i="88"/>
  <c r="H18" i="88"/>
  <c r="H17" i="88"/>
  <c r="H16" i="88"/>
  <c r="P15" i="57"/>
  <c r="P16" i="57"/>
  <c r="D16" i="122" s="1"/>
  <c r="P17" i="57"/>
  <c r="P18" i="57"/>
  <c r="D18" i="122" s="1"/>
  <c r="P19" i="57"/>
  <c r="D19" i="122" s="1"/>
  <c r="P20" i="57"/>
  <c r="D20" i="122" s="1"/>
  <c r="P21" i="57"/>
  <c r="D21" i="122" s="1"/>
  <c r="A4" i="122"/>
  <c r="A4" i="62" s="1"/>
  <c r="O63" i="122"/>
  <c r="G59" i="122"/>
  <c r="F55" i="122"/>
  <c r="F64" i="122" s="1"/>
  <c r="E21" i="122"/>
  <c r="E17" i="122"/>
  <c r="H37" i="122"/>
  <c r="H46" i="122"/>
  <c r="H22" i="122"/>
  <c r="G37" i="122"/>
  <c r="G46" i="122"/>
  <c r="G22" i="122"/>
  <c r="F46" i="122"/>
  <c r="F22" i="122"/>
  <c r="E37" i="122"/>
  <c r="E46" i="122"/>
  <c r="E64" i="122"/>
  <c r="Q21" i="57"/>
  <c r="R21" i="57" s="1"/>
  <c r="Q17" i="57"/>
  <c r="R17" i="57" s="1"/>
  <c r="O22" i="57"/>
  <c r="N22" i="57"/>
  <c r="M22" i="57"/>
  <c r="L22" i="57"/>
  <c r="K22" i="57"/>
  <c r="J22" i="57"/>
  <c r="I22" i="57"/>
  <c r="H22" i="57"/>
  <c r="G22" i="57"/>
  <c r="F22" i="57"/>
  <c r="E22" i="57"/>
  <c r="D22" i="57"/>
  <c r="P51" i="65"/>
  <c r="R51" i="65" s="1"/>
  <c r="P52" i="65"/>
  <c r="R52" i="65" s="1"/>
  <c r="P53" i="65"/>
  <c r="R53" i="65" s="1"/>
  <c r="P54" i="65"/>
  <c r="R54" i="65" s="1"/>
  <c r="P55" i="65"/>
  <c r="R55" i="65" s="1"/>
  <c r="P56" i="65"/>
  <c r="R56" i="65" s="1"/>
  <c r="P57" i="65"/>
  <c r="R57" i="65" s="1"/>
  <c r="P58" i="65"/>
  <c r="P59" i="65"/>
  <c r="P60" i="65"/>
  <c r="R60" i="65" s="1"/>
  <c r="P61" i="65"/>
  <c r="P62" i="65"/>
  <c r="R62" i="65" s="1"/>
  <c r="P63" i="65"/>
  <c r="R63" i="65" s="1"/>
  <c r="P51" i="62"/>
  <c r="P52" i="62"/>
  <c r="R52" i="62" s="1"/>
  <c r="P53" i="62"/>
  <c r="R53" i="62" s="1"/>
  <c r="P54" i="62"/>
  <c r="R54" i="62" s="1"/>
  <c r="P55" i="62"/>
  <c r="P56" i="62"/>
  <c r="R56" i="62" s="1"/>
  <c r="P57" i="62"/>
  <c r="R57" i="62" s="1"/>
  <c r="P58" i="62"/>
  <c r="R58" i="62" s="1"/>
  <c r="P59" i="62"/>
  <c r="R59" i="62" s="1"/>
  <c r="P60" i="62"/>
  <c r="R60" i="62" s="1"/>
  <c r="P61" i="62"/>
  <c r="P62" i="62"/>
  <c r="R62" i="62" s="1"/>
  <c r="P63" i="62"/>
  <c r="R63" i="62" s="1"/>
  <c r="N22" i="122"/>
  <c r="M22" i="122"/>
  <c r="L22" i="122"/>
  <c r="K22" i="122"/>
  <c r="J22" i="122"/>
  <c r="R22" i="62"/>
  <c r="Q22" i="62"/>
  <c r="P22" i="62"/>
  <c r="O22" i="62"/>
  <c r="N22" i="62"/>
  <c r="M22" i="62"/>
  <c r="L22" i="62"/>
  <c r="K22" i="62"/>
  <c r="J22" i="62"/>
  <c r="I22" i="62"/>
  <c r="H22" i="62"/>
  <c r="G22" i="62"/>
  <c r="F22" i="62"/>
  <c r="E22" i="62"/>
  <c r="R22" i="65"/>
  <c r="Q22" i="65"/>
  <c r="P22" i="65"/>
  <c r="O22" i="65"/>
  <c r="N22" i="65"/>
  <c r="M22" i="65"/>
  <c r="L22" i="65"/>
  <c r="K22" i="65"/>
  <c r="J22" i="65"/>
  <c r="I22" i="65"/>
  <c r="H22" i="65"/>
  <c r="G22" i="65"/>
  <c r="F22" i="65"/>
  <c r="E22" i="65"/>
  <c r="D22" i="62"/>
  <c r="D22" i="65"/>
  <c r="F17" i="87"/>
  <c r="F36" i="87"/>
  <c r="F31" i="87"/>
  <c r="F30" i="87"/>
  <c r="F29" i="87"/>
  <c r="F28" i="87"/>
  <c r="F27" i="87"/>
  <c r="F26" i="87"/>
  <c r="F25" i="87"/>
  <c r="F21" i="87"/>
  <c r="D36" i="87"/>
  <c r="D31" i="87"/>
  <c r="D30" i="87"/>
  <c r="D29" i="87"/>
  <c r="D28" i="87"/>
  <c r="D27" i="87"/>
  <c r="D26" i="87"/>
  <c r="D25" i="87"/>
  <c r="C27" i="87"/>
  <c r="C25" i="87"/>
  <c r="F20" i="87"/>
  <c r="D21" i="87"/>
  <c r="D20" i="87"/>
  <c r="D17" i="87"/>
  <c r="G25" i="87"/>
  <c r="G28" i="87"/>
  <c r="G29" i="87"/>
  <c r="E22" i="87"/>
  <c r="E32" i="87"/>
  <c r="E37" i="87"/>
  <c r="A26" i="87"/>
  <c r="A27" i="87" s="1"/>
  <c r="A28" i="87" s="1"/>
  <c r="A29" i="87" s="1"/>
  <c r="A30" i="87" s="1"/>
  <c r="A31" i="87" s="1"/>
  <c r="A32" i="87" s="1"/>
  <c r="A36" i="87" s="1"/>
  <c r="A37" i="87" s="1"/>
  <c r="A39" i="87" s="1"/>
  <c r="A42" i="87" s="1"/>
  <c r="A45" i="87" s="1"/>
  <c r="A4" i="90"/>
  <c r="A4" i="119" s="1"/>
  <c r="A4" i="93" s="1"/>
  <c r="I1" i="87"/>
  <c r="L1" i="88" s="1"/>
  <c r="J19" i="46"/>
  <c r="J23" i="46"/>
  <c r="I23" i="46"/>
  <c r="H19" i="46"/>
  <c r="H23" i="46"/>
  <c r="F19" i="46"/>
  <c r="F23" i="46"/>
  <c r="E19" i="46"/>
  <c r="E23" i="46"/>
  <c r="D19" i="46"/>
  <c r="D23" i="46"/>
  <c r="C19" i="46"/>
  <c r="C23" i="46"/>
  <c r="A23" i="46"/>
  <c r="A24" i="46" s="1"/>
  <c r="A17" i="46"/>
  <c r="A18" i="46" s="1"/>
  <c r="A19" i="46" s="1"/>
  <c r="A22" i="46" s="1"/>
  <c r="F17" i="38"/>
  <c r="F45" i="38"/>
  <c r="I17" i="46" s="1"/>
  <c r="E45" i="38"/>
  <c r="E17" i="38"/>
  <c r="E31" i="38"/>
  <c r="D17" i="38"/>
  <c r="D31" i="38"/>
  <c r="D45" i="38"/>
  <c r="A15" i="38"/>
  <c r="A16" i="38" s="1"/>
  <c r="A17" i="38" s="1"/>
  <c r="A20" i="38" s="1"/>
  <c r="A21" i="38" s="1"/>
  <c r="A22" i="38" s="1"/>
  <c r="A23" i="38" s="1"/>
  <c r="A24" i="38" s="1"/>
  <c r="A25" i="38" s="1"/>
  <c r="A26" i="38" s="1"/>
  <c r="A27" i="38" s="1"/>
  <c r="A28" i="38" s="1"/>
  <c r="A29" i="38" s="1"/>
  <c r="A30" i="38" s="1"/>
  <c r="A4" i="41"/>
  <c r="A3" i="109" s="1"/>
  <c r="A3" i="42" s="1"/>
  <c r="A3" i="43" s="1"/>
  <c r="A4" i="46" s="1"/>
  <c r="K19" i="41"/>
  <c r="K18" i="41"/>
  <c r="K17" i="41"/>
  <c r="K15" i="41"/>
  <c r="F22" i="32"/>
  <c r="G37" i="55"/>
  <c r="A15" i="124"/>
  <c r="G30" i="55"/>
  <c r="H30" i="55"/>
  <c r="I30" i="55" s="1"/>
  <c r="H28" i="55"/>
  <c r="I28" i="55" s="1"/>
  <c r="H29" i="55"/>
  <c r="I29" i="55" s="1"/>
  <c r="G33" i="55"/>
  <c r="H33" i="55"/>
  <c r="H31" i="55"/>
  <c r="I31" i="55" s="1"/>
  <c r="H32" i="55"/>
  <c r="I32" i="55"/>
  <c r="H34" i="55"/>
  <c r="I34" i="55" s="1"/>
  <c r="H35" i="55"/>
  <c r="I35" i="55" s="1"/>
  <c r="H36" i="55"/>
  <c r="I36" i="55" s="1"/>
  <c r="H38" i="55"/>
  <c r="I38" i="55"/>
  <c r="K38" i="55" s="1"/>
  <c r="L38" i="55" s="1"/>
  <c r="H15" i="55"/>
  <c r="I15" i="55" s="1"/>
  <c r="H16" i="55"/>
  <c r="I16" i="55" s="1"/>
  <c r="A4" i="11"/>
  <c r="A16" i="124"/>
  <c r="A17" i="124" s="1"/>
  <c r="U17" i="124"/>
  <c r="S20" i="124"/>
  <c r="M20" i="124"/>
  <c r="K16" i="124"/>
  <c r="I20" i="124"/>
  <c r="G20" i="124"/>
  <c r="F14" i="127" s="1"/>
  <c r="F20" i="124"/>
  <c r="D34" i="115"/>
  <c r="H17" i="55"/>
  <c r="I17" i="55" s="1"/>
  <c r="H18" i="55"/>
  <c r="I18" i="55" s="1"/>
  <c r="H19" i="55"/>
  <c r="I19" i="55" s="1"/>
  <c r="J20" i="55" s="1"/>
  <c r="H20" i="55"/>
  <c r="I20" i="55" s="1"/>
  <c r="H21" i="55"/>
  <c r="I21" i="55" s="1"/>
  <c r="H22" i="55"/>
  <c r="I22" i="55" s="1"/>
  <c r="K22" i="55" s="1"/>
  <c r="L22" i="55" s="1"/>
  <c r="M22" i="55" s="1"/>
  <c r="F39" i="55"/>
  <c r="P28" i="55"/>
  <c r="P31" i="55"/>
  <c r="P32" i="55"/>
  <c r="P34" i="55"/>
  <c r="P39" i="55" s="1"/>
  <c r="P35" i="55"/>
  <c r="P38" i="55"/>
  <c r="O39" i="55"/>
  <c r="N39" i="55"/>
  <c r="A28" i="55"/>
  <c r="A31" i="55" s="1"/>
  <c r="P20" i="55"/>
  <c r="A15" i="55"/>
  <c r="P19" i="55"/>
  <c r="A6" i="1"/>
  <c r="A6" i="123" s="1"/>
  <c r="A17" i="123"/>
  <c r="A18" i="123" s="1"/>
  <c r="A19" i="123" s="1"/>
  <c r="A20" i="123" s="1"/>
  <c r="A21" i="123" s="1"/>
  <c r="A22" i="123" s="1"/>
  <c r="A23" i="123" s="1"/>
  <c r="A24" i="123" s="1"/>
  <c r="A25" i="123" s="1"/>
  <c r="A26" i="123" s="1"/>
  <c r="A27" i="123" s="1"/>
  <c r="A28" i="123" s="1"/>
  <c r="A30" i="123" s="1"/>
  <c r="A32" i="123" s="1"/>
  <c r="A33" i="123" s="1"/>
  <c r="B17" i="123"/>
  <c r="N17" i="123"/>
  <c r="B18" i="123"/>
  <c r="N18" i="123"/>
  <c r="B19" i="123"/>
  <c r="N19" i="123"/>
  <c r="B20" i="123"/>
  <c r="N20" i="123"/>
  <c r="B21" i="123"/>
  <c r="N21" i="123"/>
  <c r="B22" i="123"/>
  <c r="N22" i="123"/>
  <c r="B23" i="123"/>
  <c r="N23" i="123"/>
  <c r="B24" i="123"/>
  <c r="N24" i="123"/>
  <c r="B25" i="123"/>
  <c r="N25" i="123"/>
  <c r="B26" i="123"/>
  <c r="N26" i="123"/>
  <c r="B27" i="123"/>
  <c r="N27" i="123"/>
  <c r="B28" i="123"/>
  <c r="N28" i="123"/>
  <c r="N30" i="123"/>
  <c r="C33" i="123"/>
  <c r="D33" i="123"/>
  <c r="E33" i="123"/>
  <c r="G33" i="123"/>
  <c r="H33" i="123"/>
  <c r="J33" i="123"/>
  <c r="K33" i="123"/>
  <c r="L33" i="123"/>
  <c r="M33" i="123"/>
  <c r="N17" i="34"/>
  <c r="M33" i="34"/>
  <c r="L33" i="34"/>
  <c r="D16" i="84"/>
  <c r="E16" i="84"/>
  <c r="F16" i="84"/>
  <c r="G16" i="84"/>
  <c r="H16" i="84"/>
  <c r="I16" i="84"/>
  <c r="J16" i="84"/>
  <c r="K16" i="84"/>
  <c r="L16" i="84"/>
  <c r="M16" i="84"/>
  <c r="N16" i="84"/>
  <c r="C16" i="84"/>
  <c r="I33" i="34"/>
  <c r="J33" i="34"/>
  <c r="N30" i="34"/>
  <c r="P15" i="55"/>
  <c r="P17" i="55"/>
  <c r="P23" i="55" s="1"/>
  <c r="P24" i="55" s="1"/>
  <c r="P18" i="55"/>
  <c r="P22" i="55"/>
  <c r="N23" i="55"/>
  <c r="P12" i="120"/>
  <c r="P14" i="120" s="1"/>
  <c r="P13" i="120"/>
  <c r="R13" i="120" s="1"/>
  <c r="A4" i="55"/>
  <c r="A4" i="1"/>
  <c r="A4" i="57" s="1"/>
  <c r="Q58" i="65"/>
  <c r="Q58" i="57" s="1"/>
  <c r="K37" i="122"/>
  <c r="L37" i="122"/>
  <c r="M37" i="122"/>
  <c r="M48" i="122" s="1"/>
  <c r="M66" i="122" s="1"/>
  <c r="N37" i="122"/>
  <c r="K46" i="122"/>
  <c r="L46" i="122"/>
  <c r="M46" i="122"/>
  <c r="N46" i="122"/>
  <c r="K48" i="122"/>
  <c r="K66" i="122" s="1"/>
  <c r="L48" i="122"/>
  <c r="L66" i="122"/>
  <c r="D26" i="115"/>
  <c r="D27" i="115" s="1"/>
  <c r="D40" i="115"/>
  <c r="D46" i="115"/>
  <c r="D57" i="115"/>
  <c r="E20" i="96"/>
  <c r="C14" i="99" s="1"/>
  <c r="C16" i="99" s="1"/>
  <c r="E21" i="96"/>
  <c r="C18" i="99" s="1"/>
  <c r="A15" i="33"/>
  <c r="A16" i="33"/>
  <c r="A17" i="33" s="1"/>
  <c r="A18" i="33" s="1"/>
  <c r="A19" i="33" s="1"/>
  <c r="A20" i="33" s="1"/>
  <c r="A21" i="33"/>
  <c r="A22" i="33" s="1"/>
  <c r="A23" i="33" s="1"/>
  <c r="A24" i="33" s="1"/>
  <c r="A25" i="33" s="1"/>
  <c r="A26" i="33" s="1"/>
  <c r="A27" i="33" s="1"/>
  <c r="A28" i="33" s="1"/>
  <c r="A29" i="33" s="1"/>
  <c r="A30" i="33" s="1"/>
  <c r="A6" i="33"/>
  <c r="E14" i="121"/>
  <c r="F13" i="121"/>
  <c r="D14" i="121"/>
  <c r="F17" i="79"/>
  <c r="A14" i="79"/>
  <c r="A15" i="79" s="1"/>
  <c r="A16" i="79" s="1"/>
  <c r="A17" i="79" s="1"/>
  <c r="A18" i="79" s="1"/>
  <c r="A19" i="79" s="1"/>
  <c r="D64" i="62"/>
  <c r="E64" i="62"/>
  <c r="F64" i="62"/>
  <c r="G64" i="62"/>
  <c r="H64" i="62"/>
  <c r="I64" i="62"/>
  <c r="J64" i="62"/>
  <c r="K64" i="62"/>
  <c r="L64" i="62"/>
  <c r="M64" i="62"/>
  <c r="N64" i="62"/>
  <c r="O64" i="62"/>
  <c r="E29" i="33"/>
  <c r="P16" i="72"/>
  <c r="Q16" i="72" s="1"/>
  <c r="P15" i="69"/>
  <c r="Q14" i="120"/>
  <c r="O14" i="120"/>
  <c r="N14" i="120"/>
  <c r="M14" i="120"/>
  <c r="L14" i="120"/>
  <c r="K14" i="120"/>
  <c r="J14" i="120"/>
  <c r="I14" i="120"/>
  <c r="H14" i="120"/>
  <c r="G14" i="120"/>
  <c r="F14" i="120"/>
  <c r="E14" i="120"/>
  <c r="D14" i="120"/>
  <c r="J14" i="26"/>
  <c r="M14" i="26" s="1"/>
  <c r="J15" i="26"/>
  <c r="M15" i="26" s="1"/>
  <c r="J64" i="122"/>
  <c r="I37" i="122"/>
  <c r="I48" i="122" s="1"/>
  <c r="I46" i="122"/>
  <c r="I64" i="122"/>
  <c r="P42" i="65"/>
  <c r="R42" i="65" s="1"/>
  <c r="A6" i="121"/>
  <c r="F1" i="121"/>
  <c r="G33" i="34"/>
  <c r="A13" i="115"/>
  <c r="A14" i="115" s="1"/>
  <c r="A15" i="115" s="1"/>
  <c r="A16" i="115" s="1"/>
  <c r="A17" i="115" s="1"/>
  <c r="A18" i="115" s="1"/>
  <c r="A19" i="115" s="1"/>
  <c r="A20" i="115" s="1"/>
  <c r="A21" i="115" s="1"/>
  <c r="A22" i="115" s="1"/>
  <c r="A23" i="115" s="1"/>
  <c r="A24" i="115" s="1"/>
  <c r="A25" i="115" s="1"/>
  <c r="A26" i="115" s="1"/>
  <c r="A27" i="115" s="1"/>
  <c r="A28" i="115" s="1"/>
  <c r="A29" i="115" s="1"/>
  <c r="A30" i="115" s="1"/>
  <c r="A31" i="115" s="1"/>
  <c r="A32" i="115" s="1"/>
  <c r="A33" i="115" s="1"/>
  <c r="A34" i="115" s="1"/>
  <c r="A35" i="115" s="1"/>
  <c r="A36" i="115" s="1"/>
  <c r="A38" i="115" s="1"/>
  <c r="A39" i="115" s="1"/>
  <c r="A40" i="115" s="1"/>
  <c r="A41" i="115" s="1"/>
  <c r="A42" i="115" s="1"/>
  <c r="A43" i="115" s="1"/>
  <c r="A44" i="115" s="1"/>
  <c r="A45" i="115" s="1"/>
  <c r="A46" i="115" s="1"/>
  <c r="A47" i="115" s="1"/>
  <c r="A48" i="115" s="1"/>
  <c r="A49" i="115" s="1"/>
  <c r="A50" i="115" s="1"/>
  <c r="A51" i="115" s="1"/>
  <c r="A52" i="115" s="1"/>
  <c r="A53" i="115" s="1"/>
  <c r="A54" i="115" s="1"/>
  <c r="A55" i="115" s="1"/>
  <c r="A56" i="115" s="1"/>
  <c r="A57" i="115" s="1"/>
  <c r="A58" i="115" s="1"/>
  <c r="A59" i="115" s="1"/>
  <c r="A14" i="90"/>
  <c r="A15" i="90" s="1"/>
  <c r="A16" i="90" s="1"/>
  <c r="A17" i="90" s="1"/>
  <c r="A18" i="90" s="1"/>
  <c r="A19" i="90" s="1"/>
  <c r="A20" i="90" s="1"/>
  <c r="A21" i="90" s="1"/>
  <c r="A22" i="90" s="1"/>
  <c r="A23" i="90" s="1"/>
  <c r="A6" i="55"/>
  <c r="A15" i="1"/>
  <c r="A16" i="1" s="1"/>
  <c r="A18" i="1"/>
  <c r="A19" i="1" s="1"/>
  <c r="A20" i="1" s="1"/>
  <c r="C20" i="4"/>
  <c r="C20" i="29" s="1"/>
  <c r="R61" i="62"/>
  <c r="C19" i="99"/>
  <c r="C15" i="99"/>
  <c r="D16" i="81"/>
  <c r="E13" i="81"/>
  <c r="E14" i="81"/>
  <c r="E15" i="81"/>
  <c r="C16" i="81"/>
  <c r="P15" i="72"/>
  <c r="Q15" i="72" s="1"/>
  <c r="Q17" i="72" s="1"/>
  <c r="P14" i="69"/>
  <c r="F17" i="86" s="1"/>
  <c r="E19" i="122" s="1"/>
  <c r="B20" i="4"/>
  <c r="B20" i="29" s="1"/>
  <c r="A12" i="120"/>
  <c r="O8" i="120"/>
  <c r="N8" i="120"/>
  <c r="M8" i="120"/>
  <c r="L8" i="120"/>
  <c r="K8" i="120"/>
  <c r="J8" i="120"/>
  <c r="I8" i="120"/>
  <c r="H8" i="120"/>
  <c r="G8" i="120"/>
  <c r="F8" i="120"/>
  <c r="E8" i="120"/>
  <c r="D8" i="120"/>
  <c r="B3" i="120"/>
  <c r="A15" i="11"/>
  <c r="A16" i="11" s="1"/>
  <c r="A17" i="11" s="1"/>
  <c r="A19" i="11"/>
  <c r="A20" i="11"/>
  <c r="A21" i="11" s="1"/>
  <c r="A22" i="11" s="1"/>
  <c r="A23" i="11" s="1"/>
  <c r="A24" i="11" s="1"/>
  <c r="A27" i="11"/>
  <c r="A28" i="11" s="1"/>
  <c r="A29" i="11" s="1"/>
  <c r="A30" i="11" s="1"/>
  <c r="A31" i="11" s="1"/>
  <c r="A32" i="11" s="1"/>
  <c r="A34" i="11" s="1"/>
  <c r="A35" i="11" s="1"/>
  <c r="A36" i="11" s="1"/>
  <c r="C33" i="34"/>
  <c r="A17" i="34"/>
  <c r="A18" i="34" s="1"/>
  <c r="A19" i="34" s="1"/>
  <c r="A20" i="34" s="1"/>
  <c r="A21" i="34" s="1"/>
  <c r="A22" i="34" s="1"/>
  <c r="A23" i="34" s="1"/>
  <c r="A24" i="34" s="1"/>
  <c r="A25" i="34" s="1"/>
  <c r="A26" i="34" s="1"/>
  <c r="A27" i="34" s="1"/>
  <c r="A28" i="34" s="1"/>
  <c r="A30" i="34" s="1"/>
  <c r="A32" i="34"/>
  <c r="A33" i="34" s="1"/>
  <c r="E33" i="34"/>
  <c r="N28" i="34"/>
  <c r="P26" i="65"/>
  <c r="P27" i="65"/>
  <c r="R27" i="65" s="1"/>
  <c r="P28" i="65"/>
  <c r="P29" i="65"/>
  <c r="R29" i="65" s="1"/>
  <c r="P31" i="65"/>
  <c r="R31" i="65" s="1"/>
  <c r="P32" i="65"/>
  <c r="R32" i="65" s="1"/>
  <c r="P33" i="65"/>
  <c r="R33" i="65" s="1"/>
  <c r="P34" i="65"/>
  <c r="R34" i="65" s="1"/>
  <c r="P35" i="65"/>
  <c r="R35" i="65" s="1"/>
  <c r="P36" i="65"/>
  <c r="R36" i="65" s="1"/>
  <c r="P39" i="65"/>
  <c r="R39" i="65" s="1"/>
  <c r="P40" i="65"/>
  <c r="R40" i="65" s="1"/>
  <c r="P41" i="65"/>
  <c r="P43" i="65"/>
  <c r="R43" i="65" s="1"/>
  <c r="P44" i="65"/>
  <c r="R44" i="65" s="1"/>
  <c r="P45" i="65"/>
  <c r="R45" i="65" s="1"/>
  <c r="O64" i="65"/>
  <c r="O37" i="65"/>
  <c r="O46" i="65"/>
  <c r="N64" i="65"/>
  <c r="N37" i="65"/>
  <c r="N46" i="65"/>
  <c r="M64" i="65"/>
  <c r="M37" i="65"/>
  <c r="M46" i="65"/>
  <c r="L64" i="65"/>
  <c r="L37" i="65"/>
  <c r="L46" i="65"/>
  <c r="K64" i="65"/>
  <c r="K37" i="65"/>
  <c r="K46" i="65"/>
  <c r="J64" i="65"/>
  <c r="J37" i="65"/>
  <c r="J46" i="65"/>
  <c r="I64" i="65"/>
  <c r="I37" i="65"/>
  <c r="I46" i="65"/>
  <c r="H64" i="65"/>
  <c r="H37" i="65"/>
  <c r="H46" i="65"/>
  <c r="G64" i="65"/>
  <c r="G37" i="65"/>
  <c r="G46" i="65"/>
  <c r="F64" i="65"/>
  <c r="F37" i="65"/>
  <c r="F46" i="65"/>
  <c r="E64" i="65"/>
  <c r="E37" i="65"/>
  <c r="E46" i="65"/>
  <c r="D64" i="65"/>
  <c r="D37" i="65"/>
  <c r="D46" i="65"/>
  <c r="Q37" i="62"/>
  <c r="Q46" i="62"/>
  <c r="O37" i="62"/>
  <c r="O46" i="62"/>
  <c r="N37" i="62"/>
  <c r="N46" i="62"/>
  <c r="M37" i="62"/>
  <c r="M46" i="62"/>
  <c r="M48" i="62" s="1"/>
  <c r="L37" i="62"/>
  <c r="L46" i="62"/>
  <c r="K37" i="62"/>
  <c r="K46" i="62"/>
  <c r="J37" i="62"/>
  <c r="J46" i="62"/>
  <c r="I37" i="62"/>
  <c r="I46" i="62"/>
  <c r="H37" i="62"/>
  <c r="H48" i="62" s="1"/>
  <c r="H46" i="62"/>
  <c r="G37" i="62"/>
  <c r="G46" i="62"/>
  <c r="F37" i="62"/>
  <c r="F46" i="62"/>
  <c r="E37" i="62"/>
  <c r="E46" i="62"/>
  <c r="D37" i="62"/>
  <c r="D48" i="62" s="1"/>
  <c r="D46" i="62"/>
  <c r="A14" i="119"/>
  <c r="A15" i="119" s="1"/>
  <c r="A16" i="119"/>
  <c r="A17" i="119" s="1"/>
  <c r="A20" i="119"/>
  <c r="A22" i="119" s="1"/>
  <c r="A23" i="119" s="1"/>
  <c r="A6" i="119"/>
  <c r="F15" i="32"/>
  <c r="F16" i="32"/>
  <c r="F17" i="32"/>
  <c r="F18" i="32"/>
  <c r="F19" i="32"/>
  <c r="F20" i="32"/>
  <c r="F21" i="32"/>
  <c r="F23" i="32"/>
  <c r="F24" i="32"/>
  <c r="F14" i="32"/>
  <c r="J20" i="41"/>
  <c r="J23" i="41" s="1"/>
  <c r="G20" i="41"/>
  <c r="G23" i="41" s="1"/>
  <c r="A13" i="114"/>
  <c r="A14" i="114" s="1"/>
  <c r="A15" i="114" s="1"/>
  <c r="A16" i="114" s="1"/>
  <c r="A17" i="114" s="1"/>
  <c r="A18" i="114" s="1"/>
  <c r="A19" i="114"/>
  <c r="A20" i="114" s="1"/>
  <c r="A21" i="114" s="1"/>
  <c r="A22" i="114" s="1"/>
  <c r="A23" i="114" s="1"/>
  <c r="A24" i="114" s="1"/>
  <c r="A25" i="114" s="1"/>
  <c r="A26" i="114" s="1"/>
  <c r="A27" i="114" s="1"/>
  <c r="A28" i="114" s="1"/>
  <c r="A29" i="114" s="1"/>
  <c r="A30" i="114" s="1"/>
  <c r="A31" i="114" s="1"/>
  <c r="A32" i="114" s="1"/>
  <c r="A33" i="114" s="1"/>
  <c r="A34" i="114" s="1"/>
  <c r="A35" i="114" s="1"/>
  <c r="A36" i="114" s="1"/>
  <c r="A37" i="114" s="1"/>
  <c r="A38" i="114" s="1"/>
  <c r="A39" i="114" s="1"/>
  <c r="A40" i="114" s="1"/>
  <c r="A41" i="114" s="1"/>
  <c r="A42" i="114" s="1"/>
  <c r="A43" i="114" s="1"/>
  <c r="A44" i="114" s="1"/>
  <c r="A45" i="114" s="1"/>
  <c r="A46" i="114" s="1"/>
  <c r="A47" i="114" s="1"/>
  <c r="A48" i="114" s="1"/>
  <c r="A49" i="114" s="1"/>
  <c r="A50" i="114" s="1"/>
  <c r="A51" i="114" s="1"/>
  <c r="A52" i="114" s="1"/>
  <c r="A53" i="114" s="1"/>
  <c r="A54" i="114" s="1"/>
  <c r="A55" i="114" s="1"/>
  <c r="A56" i="114" s="1"/>
  <c r="A57" i="114" s="1"/>
  <c r="A58" i="114" s="1"/>
  <c r="A59" i="114" s="1"/>
  <c r="A60" i="114" s="1"/>
  <c r="A61" i="114" s="1"/>
  <c r="A62" i="114" s="1"/>
  <c r="A63" i="114" s="1"/>
  <c r="A64" i="114" s="1"/>
  <c r="A65" i="114" s="1"/>
  <c r="A66" i="114" s="1"/>
  <c r="A67" i="114" s="1"/>
  <c r="A68" i="114" s="1"/>
  <c r="A69" i="114" s="1"/>
  <c r="A70" i="114" s="1"/>
  <c r="A71" i="114" s="1"/>
  <c r="A72" i="114" s="1"/>
  <c r="A73" i="114" s="1"/>
  <c r="A74" i="114" s="1"/>
  <c r="A75" i="114" s="1"/>
  <c r="A76" i="114" s="1"/>
  <c r="A77" i="114" s="1"/>
  <c r="A78" i="114" s="1"/>
  <c r="A79" i="114" s="1"/>
  <c r="A80" i="114" s="1"/>
  <c r="A81" i="114" s="1"/>
  <c r="A82" i="114" s="1"/>
  <c r="A83" i="114" s="1"/>
  <c r="A84" i="114" s="1"/>
  <c r="D9" i="33"/>
  <c r="A15" i="29"/>
  <c r="A16" i="29" s="1"/>
  <c r="A18" i="29"/>
  <c r="A19" i="29" s="1"/>
  <c r="A20" i="29" s="1"/>
  <c r="A15" i="4"/>
  <c r="A16" i="4" s="1"/>
  <c r="A18" i="4"/>
  <c r="A19" i="4" s="1"/>
  <c r="A20" i="4" s="1"/>
  <c r="N18" i="34"/>
  <c r="N19" i="34"/>
  <c r="N20" i="34"/>
  <c r="N21" i="34"/>
  <c r="N22" i="34"/>
  <c r="N23" i="34"/>
  <c r="N24" i="34"/>
  <c r="N25" i="34"/>
  <c r="N26" i="34"/>
  <c r="N27" i="34"/>
  <c r="C16" i="90"/>
  <c r="A15" i="96"/>
  <c r="A16" i="96" s="1"/>
  <c r="A17" i="96" s="1"/>
  <c r="A18" i="96" s="1"/>
  <c r="A19" i="96" s="1"/>
  <c r="A20" i="96" s="1"/>
  <c r="A21" i="96" s="1"/>
  <c r="A22" i="96" s="1"/>
  <c r="D22" i="97"/>
  <c r="E21" i="97"/>
  <c r="E22" i="97" s="1"/>
  <c r="A14" i="97"/>
  <c r="A28" i="32"/>
  <c r="A29" i="32" s="1"/>
  <c r="F14" i="79"/>
  <c r="F16" i="79"/>
  <c r="F13" i="79"/>
  <c r="E10" i="26"/>
  <c r="A6" i="115"/>
  <c r="A6" i="49"/>
  <c r="A6" i="51" s="1"/>
  <c r="A15" i="51"/>
  <c r="O17" i="72"/>
  <c r="N17" i="72"/>
  <c r="M17" i="72"/>
  <c r="L17" i="72"/>
  <c r="K17" i="72"/>
  <c r="J17" i="72"/>
  <c r="I17" i="72"/>
  <c r="H17" i="72"/>
  <c r="G17" i="72"/>
  <c r="F17" i="72"/>
  <c r="E17" i="72"/>
  <c r="D17" i="72"/>
  <c r="N10" i="84"/>
  <c r="M10" i="84"/>
  <c r="L10" i="84"/>
  <c r="K10" i="84"/>
  <c r="J10" i="84"/>
  <c r="I10" i="84"/>
  <c r="H10" i="84"/>
  <c r="G10" i="84"/>
  <c r="F10" i="84"/>
  <c r="E10" i="84"/>
  <c r="D10" i="84"/>
  <c r="C10" i="84"/>
  <c r="B28" i="34"/>
  <c r="B27" i="34"/>
  <c r="B26" i="34"/>
  <c r="B25" i="34"/>
  <c r="B24" i="34"/>
  <c r="B23" i="34"/>
  <c r="B22" i="34"/>
  <c r="B21" i="34"/>
  <c r="B20" i="34"/>
  <c r="B19" i="34"/>
  <c r="B18" i="34"/>
  <c r="B17" i="34"/>
  <c r="B25" i="32"/>
  <c r="B24" i="32"/>
  <c r="B23" i="32"/>
  <c r="B22" i="32"/>
  <c r="B21" i="32"/>
  <c r="B20" i="32"/>
  <c r="B19" i="32"/>
  <c r="B18" i="32"/>
  <c r="B17" i="32"/>
  <c r="B16" i="32"/>
  <c r="B15" i="32"/>
  <c r="B14" i="32"/>
  <c r="O11" i="72"/>
  <c r="O10" i="125" s="1"/>
  <c r="O10" i="126" s="1"/>
  <c r="N11" i="72"/>
  <c r="N10" i="125" s="1"/>
  <c r="N10" i="126" s="1"/>
  <c r="M11" i="72"/>
  <c r="M10" i="125" s="1"/>
  <c r="M10" i="126" s="1"/>
  <c r="L11" i="72"/>
  <c r="L10" i="125" s="1"/>
  <c r="L10" i="126" s="1"/>
  <c r="K11" i="72"/>
  <c r="K10" i="125" s="1"/>
  <c r="K10" i="126" s="1"/>
  <c r="J11" i="72"/>
  <c r="J10" i="125" s="1"/>
  <c r="J10" i="126" s="1"/>
  <c r="I11" i="72"/>
  <c r="I10" i="125" s="1"/>
  <c r="I10" i="126" s="1"/>
  <c r="H11" i="72"/>
  <c r="H10" i="125" s="1"/>
  <c r="H10" i="126" s="1"/>
  <c r="G11" i="72"/>
  <c r="G10" i="125" s="1"/>
  <c r="G10" i="126" s="1"/>
  <c r="F11" i="72"/>
  <c r="F10" i="125" s="1"/>
  <c r="F10" i="126" s="1"/>
  <c r="E11" i="72"/>
  <c r="E10" i="125" s="1"/>
  <c r="E10" i="126" s="1"/>
  <c r="D11" i="72"/>
  <c r="D10" i="125" s="1"/>
  <c r="D10" i="126" s="1"/>
  <c r="D10" i="69"/>
  <c r="O10" i="69"/>
  <c r="N10" i="69"/>
  <c r="M10" i="69"/>
  <c r="L10" i="69"/>
  <c r="K10" i="69"/>
  <c r="J10" i="69"/>
  <c r="I10" i="69"/>
  <c r="H10" i="69"/>
  <c r="G10" i="69"/>
  <c r="F10" i="69"/>
  <c r="E10" i="69"/>
  <c r="O11" i="65"/>
  <c r="N11" i="65"/>
  <c r="M11" i="65"/>
  <c r="L11" i="65"/>
  <c r="K11" i="65"/>
  <c r="J11" i="65"/>
  <c r="I11" i="65"/>
  <c r="H11" i="65"/>
  <c r="G11" i="65"/>
  <c r="F11" i="65"/>
  <c r="E11" i="65"/>
  <c r="D11" i="65"/>
  <c r="O11" i="62"/>
  <c r="N11" i="62"/>
  <c r="M11" i="62"/>
  <c r="L11" i="62"/>
  <c r="K11" i="62"/>
  <c r="J11" i="62"/>
  <c r="I11" i="62"/>
  <c r="H11" i="62"/>
  <c r="G11" i="62"/>
  <c r="F11" i="62"/>
  <c r="E11" i="62"/>
  <c r="D11" i="62"/>
  <c r="O10" i="57"/>
  <c r="N10" i="57"/>
  <c r="M10" i="57"/>
  <c r="L10" i="57"/>
  <c r="K10" i="57"/>
  <c r="J10" i="57"/>
  <c r="I10" i="57"/>
  <c r="H10" i="57"/>
  <c r="G10" i="57"/>
  <c r="F10" i="57"/>
  <c r="E10" i="57"/>
  <c r="D10" i="57"/>
  <c r="D1" i="100"/>
  <c r="A6" i="100"/>
  <c r="A14" i="99"/>
  <c r="A15" i="99" s="1"/>
  <c r="A16" i="99" s="1"/>
  <c r="A17" i="99" s="1"/>
  <c r="A18" i="99" s="1"/>
  <c r="A19" i="99" s="1"/>
  <c r="A20" i="99" s="1"/>
  <c r="D1" i="99"/>
  <c r="A6" i="99"/>
  <c r="D1" i="97"/>
  <c r="A6" i="97"/>
  <c r="A6" i="96"/>
  <c r="E1" i="96"/>
  <c r="A6" i="95"/>
  <c r="C1" i="95"/>
  <c r="C10" i="90"/>
  <c r="E1" i="90"/>
  <c r="A6" i="90"/>
  <c r="E1" i="85"/>
  <c r="A6" i="85"/>
  <c r="D14" i="85"/>
  <c r="A6" i="84"/>
  <c r="E1" i="82"/>
  <c r="A6" i="82"/>
  <c r="E1" i="81"/>
  <c r="A6" i="81"/>
  <c r="E1" i="80"/>
  <c r="A6" i="80"/>
  <c r="F1" i="79"/>
  <c r="A6" i="79"/>
  <c r="F1" i="78"/>
  <c r="A6" i="78"/>
  <c r="F1" i="77"/>
  <c r="A6" i="77"/>
  <c r="F1" i="76"/>
  <c r="A6" i="76"/>
  <c r="A7" i="72"/>
  <c r="A15" i="72"/>
  <c r="A16" i="72" s="1"/>
  <c r="A17" i="72" s="1"/>
  <c r="O16" i="69"/>
  <c r="N16" i="69"/>
  <c r="M16" i="69"/>
  <c r="L16" i="69"/>
  <c r="K16" i="69"/>
  <c r="J16" i="69"/>
  <c r="I16" i="69"/>
  <c r="H16" i="69"/>
  <c r="G16" i="69"/>
  <c r="F16" i="69"/>
  <c r="E16" i="69"/>
  <c r="D16" i="69"/>
  <c r="A14" i="69"/>
  <c r="A15" i="69" s="1"/>
  <c r="A16" i="69" s="1"/>
  <c r="A7" i="69"/>
  <c r="A7" i="65"/>
  <c r="A7" i="62"/>
  <c r="A7" i="57"/>
  <c r="O23" i="55"/>
  <c r="A16" i="51"/>
  <c r="A17" i="51" s="1"/>
  <c r="A18" i="51" s="1"/>
  <c r="A19" i="51" s="1"/>
  <c r="A20" i="51" s="1"/>
  <c r="A21" i="51" s="1"/>
  <c r="A22" i="51" s="1"/>
  <c r="A23" i="51" s="1"/>
  <c r="A24" i="51" s="1"/>
  <c r="A25" i="51" s="1"/>
  <c r="A26" i="51" s="1"/>
  <c r="A27" i="51" s="1"/>
  <c r="A28" i="51" s="1"/>
  <c r="A29" i="51" s="1"/>
  <c r="A30" i="51" s="1"/>
  <c r="B26" i="51"/>
  <c r="B25" i="51"/>
  <c r="B24" i="51"/>
  <c r="B23" i="51"/>
  <c r="B22" i="51"/>
  <c r="B21" i="51"/>
  <c r="B20" i="51"/>
  <c r="B19" i="51"/>
  <c r="B18" i="51"/>
  <c r="B17" i="51"/>
  <c r="B16" i="51"/>
  <c r="A14" i="49"/>
  <c r="A15" i="49" s="1"/>
  <c r="J1" i="41"/>
  <c r="A14" i="26"/>
  <c r="A15" i="26" s="1"/>
  <c r="A16" i="26" s="1"/>
  <c r="A17" i="26" s="1"/>
  <c r="A18" i="26" s="1"/>
  <c r="E18" i="26"/>
  <c r="F18" i="26"/>
  <c r="G18" i="26"/>
  <c r="H18" i="26"/>
  <c r="J31" i="55"/>
  <c r="J29" i="55"/>
  <c r="J18" i="55"/>
  <c r="K18" i="55" s="1"/>
  <c r="L18" i="55" s="1"/>
  <c r="R12" i="120"/>
  <c r="R14" i="120" s="1"/>
  <c r="J15" i="55"/>
  <c r="K20" i="124"/>
  <c r="Q15" i="125"/>
  <c r="R15" i="125" s="1"/>
  <c r="D17" i="122"/>
  <c r="Q17" i="125"/>
  <c r="D32" i="34"/>
  <c r="D33" i="34" s="1"/>
  <c r="M16" i="26"/>
  <c r="E48" i="122" l="1"/>
  <c r="C16" i="127"/>
  <c r="G1" i="43"/>
  <c r="J1" i="46" s="1"/>
  <c r="E1" i="47" s="1"/>
  <c r="N1" i="123"/>
  <c r="A34" i="55"/>
  <c r="A35" i="55" s="1"/>
  <c r="A32" i="55"/>
  <c r="A4" i="32"/>
  <c r="A4" i="33" s="1"/>
  <c r="I33" i="55"/>
  <c r="K17" i="46"/>
  <c r="J19" i="55"/>
  <c r="K19" i="55" s="1"/>
  <c r="L19" i="55" s="1"/>
  <c r="M21" i="55" s="1"/>
  <c r="Q15" i="69"/>
  <c r="R15" i="69" s="1"/>
  <c r="F18" i="86"/>
  <c r="Q19" i="57"/>
  <c r="G30" i="88"/>
  <c r="Q18" i="125"/>
  <c r="R18" i="125" s="1"/>
  <c r="F27" i="86"/>
  <c r="Q14" i="125"/>
  <c r="F14" i="86"/>
  <c r="F32" i="34"/>
  <c r="F33" i="34" s="1"/>
  <c r="Q16" i="125"/>
  <c r="F16" i="86"/>
  <c r="K33" i="34"/>
  <c r="A34" i="38"/>
  <c r="A35" i="38" s="1"/>
  <c r="A36" i="38" s="1"/>
  <c r="A37" i="38" s="1"/>
  <c r="A38" i="38" s="1"/>
  <c r="A39" i="38" s="1"/>
  <c r="A40" i="38" s="1"/>
  <c r="A41" i="38" s="1"/>
  <c r="A42" i="38" s="1"/>
  <c r="A43" i="38" s="1"/>
  <c r="A44" i="38" s="1"/>
  <c r="A45" i="38" s="1"/>
  <c r="A47" i="38" s="1"/>
  <c r="A31" i="38"/>
  <c r="G48" i="122"/>
  <c r="G49" i="88"/>
  <c r="E20" i="90" s="1"/>
  <c r="C20" i="90"/>
  <c r="H59" i="122"/>
  <c r="H64" i="122" s="1"/>
  <c r="Q59" i="65"/>
  <c r="Q59" i="57" s="1"/>
  <c r="F14" i="33"/>
  <c r="H1" i="128"/>
  <c r="D1" i="29"/>
  <c r="D1" i="11"/>
  <c r="A4" i="95"/>
  <c r="A4" i="96" s="1"/>
  <c r="A4" i="97" s="1"/>
  <c r="A4" i="99" s="1"/>
  <c r="A5" i="117" s="1"/>
  <c r="A4" i="4" s="1"/>
  <c r="A4" i="29" s="1"/>
  <c r="A4" i="100" s="1"/>
  <c r="D26" i="97"/>
  <c r="I66" i="122"/>
  <c r="F16" i="127"/>
  <c r="G14" i="127" s="1"/>
  <c r="N31" i="34"/>
  <c r="D15" i="49"/>
  <c r="D28" i="11" s="1"/>
  <c r="A27" i="46"/>
  <c r="A28" i="46" s="1"/>
  <c r="A30" i="46" s="1"/>
  <c r="G35" i="88"/>
  <c r="F1" i="53"/>
  <c r="E1" i="49"/>
  <c r="Q1" i="65"/>
  <c r="A4" i="69"/>
  <c r="A4" i="65"/>
  <c r="F1" i="32"/>
  <c r="D1" i="4"/>
  <c r="E1" i="51"/>
  <c r="Q1" i="62"/>
  <c r="Q1" i="69"/>
  <c r="G1" i="109"/>
  <c r="G1" i="48"/>
  <c r="Q1" i="57"/>
  <c r="E1" i="115"/>
  <c r="P1" i="120"/>
  <c r="A4" i="72"/>
  <c r="A4" i="76" s="1"/>
  <c r="A4" i="77" s="1"/>
  <c r="A4" i="78" s="1"/>
  <c r="A4" i="79" s="1"/>
  <c r="A4" i="80" s="1"/>
  <c r="A4" i="81" s="1"/>
  <c r="A4" i="82" s="1"/>
  <c r="A4" i="121" s="1"/>
  <c r="A4" i="84" s="1"/>
  <c r="A4" i="85" s="1"/>
  <c r="D18" i="96"/>
  <c r="D22" i="96" s="1"/>
  <c r="C20" i="99"/>
  <c r="J66" i="122"/>
  <c r="P22" i="57"/>
  <c r="R19" i="57"/>
  <c r="H48" i="122"/>
  <c r="H66" i="122" s="1"/>
  <c r="O21" i="122"/>
  <c r="R26" i="65"/>
  <c r="Q14" i="69"/>
  <c r="R14" i="69" s="1"/>
  <c r="R55" i="62"/>
  <c r="O17" i="122"/>
  <c r="R41" i="65"/>
  <c r="R46" i="65" s="1"/>
  <c r="F14" i="121"/>
  <c r="O16" i="84"/>
  <c r="D18" i="79" s="1"/>
  <c r="D19" i="79" s="1"/>
  <c r="E19" i="79"/>
  <c r="R14" i="126"/>
  <c r="P19" i="126"/>
  <c r="R17" i="125"/>
  <c r="R16" i="125"/>
  <c r="R16" i="72"/>
  <c r="P16" i="69"/>
  <c r="P46" i="65"/>
  <c r="I48" i="65"/>
  <c r="I66" i="65" s="1"/>
  <c r="F48" i="65"/>
  <c r="F66" i="65" s="1"/>
  <c r="L48" i="65"/>
  <c r="L66" i="65" s="1"/>
  <c r="R30" i="65"/>
  <c r="Q48" i="62"/>
  <c r="Q66" i="62" s="1"/>
  <c r="N46" i="57"/>
  <c r="H66" i="62"/>
  <c r="J37" i="57"/>
  <c r="P45" i="57"/>
  <c r="R45" i="57" s="1"/>
  <c r="H46" i="57"/>
  <c r="D66" i="62"/>
  <c r="F48" i="62"/>
  <c r="F66" i="62" s="1"/>
  <c r="N48" i="62"/>
  <c r="N66" i="62" s="1"/>
  <c r="P42" i="57"/>
  <c r="D42" i="122" s="1"/>
  <c r="O42" i="122" s="1"/>
  <c r="P51" i="57"/>
  <c r="D51" i="122" s="1"/>
  <c r="P61" i="57"/>
  <c r="F64" i="57"/>
  <c r="R37" i="62"/>
  <c r="P39" i="57"/>
  <c r="R46" i="62"/>
  <c r="P43" i="57"/>
  <c r="P62" i="57"/>
  <c r="O37" i="57"/>
  <c r="J64" i="57"/>
  <c r="P31" i="57"/>
  <c r="D31" i="122" s="1"/>
  <c r="O31" i="122" s="1"/>
  <c r="P63" i="57"/>
  <c r="R63" i="57" s="1"/>
  <c r="P44" i="57"/>
  <c r="J46" i="57"/>
  <c r="G42" i="88"/>
  <c r="G36" i="88"/>
  <c r="L36" i="88" s="1"/>
  <c r="K36" i="88" s="1"/>
  <c r="G17" i="88"/>
  <c r="L17" i="88" s="1"/>
  <c r="K17" i="88" s="1"/>
  <c r="G32" i="88"/>
  <c r="E39" i="87"/>
  <c r="L42" i="88"/>
  <c r="K42" i="88" s="1"/>
  <c r="K32" i="88"/>
  <c r="H24" i="46"/>
  <c r="H31" i="46" s="1"/>
  <c r="F24" i="46"/>
  <c r="F31" i="46" s="1"/>
  <c r="K22" i="46"/>
  <c r="K23" i="46" s="1"/>
  <c r="C24" i="46"/>
  <c r="C31" i="46" s="1"/>
  <c r="E24" i="46"/>
  <c r="E31" i="46" s="1"/>
  <c r="J24" i="46"/>
  <c r="J31" i="46" s="1"/>
  <c r="I23" i="41"/>
  <c r="L17" i="26" s="1"/>
  <c r="K13" i="26" s="1"/>
  <c r="H23" i="41"/>
  <c r="K17" i="26" s="1"/>
  <c r="C30" i="87"/>
  <c r="H30" i="87" s="1"/>
  <c r="G30" i="87" s="1"/>
  <c r="G45" i="38"/>
  <c r="E47" i="38"/>
  <c r="F31" i="38"/>
  <c r="G31" i="38"/>
  <c r="G43" i="88"/>
  <c r="L43" i="88" s="1"/>
  <c r="K43" i="88" s="1"/>
  <c r="G24" i="88"/>
  <c r="G18" i="88"/>
  <c r="C17" i="87"/>
  <c r="G34" i="88"/>
  <c r="G21" i="88"/>
  <c r="L21" i="88" s="1"/>
  <c r="F19" i="88"/>
  <c r="G19" i="88" s="1"/>
  <c r="L19" i="88" s="1"/>
  <c r="K19" i="88" s="1"/>
  <c r="C22" i="87"/>
  <c r="G17" i="38"/>
  <c r="C36" i="87" s="1"/>
  <c r="H36" i="87" s="1"/>
  <c r="G36" i="87" s="1"/>
  <c r="G37" i="87" s="1"/>
  <c r="G33" i="88"/>
  <c r="G16" i="88"/>
  <c r="J18" i="26"/>
  <c r="C13" i="90" s="1"/>
  <c r="C18" i="90" s="1"/>
  <c r="D47" i="115"/>
  <c r="D58" i="115" s="1"/>
  <c r="D59" i="115" s="1"/>
  <c r="E16" i="97"/>
  <c r="E18" i="97"/>
  <c r="E19" i="97" s="1"/>
  <c r="C26" i="97"/>
  <c r="J46" i="88"/>
  <c r="J53" i="88" s="1"/>
  <c r="C26" i="90" s="1"/>
  <c r="Q19" i="125"/>
  <c r="P19" i="125"/>
  <c r="P17" i="72"/>
  <c r="R15" i="72"/>
  <c r="R58" i="65"/>
  <c r="O64" i="57"/>
  <c r="P60" i="57"/>
  <c r="D60" i="122" s="1"/>
  <c r="O60" i="122" s="1"/>
  <c r="K64" i="57"/>
  <c r="P59" i="57"/>
  <c r="D59" i="122" s="1"/>
  <c r="O59" i="122" s="1"/>
  <c r="H64" i="57"/>
  <c r="P58" i="57"/>
  <c r="D58" i="122" s="1"/>
  <c r="O58" i="122" s="1"/>
  <c r="E64" i="57"/>
  <c r="E48" i="65"/>
  <c r="E66" i="65" s="1"/>
  <c r="D48" i="65"/>
  <c r="D66" i="65" s="1"/>
  <c r="J48" i="65"/>
  <c r="J66" i="65" s="1"/>
  <c r="N48" i="65"/>
  <c r="N66" i="65" s="1"/>
  <c r="L46" i="57"/>
  <c r="P41" i="57"/>
  <c r="R41" i="57" s="1"/>
  <c r="K48" i="65"/>
  <c r="K66" i="65" s="1"/>
  <c r="F46" i="57"/>
  <c r="M48" i="65"/>
  <c r="K46" i="57"/>
  <c r="P27" i="57"/>
  <c r="R27" i="57" s="1"/>
  <c r="K37" i="57"/>
  <c r="P35" i="57"/>
  <c r="R35" i="57" s="1"/>
  <c r="P34" i="57"/>
  <c r="P32" i="57"/>
  <c r="D32" i="122" s="1"/>
  <c r="O32" i="122" s="1"/>
  <c r="L37" i="57"/>
  <c r="P29" i="57"/>
  <c r="P33" i="57"/>
  <c r="P57" i="57"/>
  <c r="I64" i="57"/>
  <c r="M66" i="62"/>
  <c r="D64" i="57"/>
  <c r="G46" i="57"/>
  <c r="E48" i="62"/>
  <c r="E66" i="62" s="1"/>
  <c r="P46" i="62"/>
  <c r="I46" i="57"/>
  <c r="L48" i="62"/>
  <c r="L66" i="62" s="1"/>
  <c r="O48" i="62"/>
  <c r="O66" i="62" s="1"/>
  <c r="D46" i="57"/>
  <c r="P40" i="57"/>
  <c r="R40" i="57" s="1"/>
  <c r="I48" i="62"/>
  <c r="I66" i="62" s="1"/>
  <c r="K48" i="62"/>
  <c r="K66" i="62" s="1"/>
  <c r="M46" i="57"/>
  <c r="O46" i="57"/>
  <c r="G37" i="57"/>
  <c r="P28" i="57"/>
  <c r="N37" i="57"/>
  <c r="P26" i="57"/>
  <c r="E37" i="57"/>
  <c r="P37" i="62"/>
  <c r="P48" i="62" s="1"/>
  <c r="F37" i="57"/>
  <c r="D37" i="57"/>
  <c r="D30" i="122"/>
  <c r="E16" i="81"/>
  <c r="F15" i="79"/>
  <c r="Q15" i="84"/>
  <c r="Q16" i="84" s="1"/>
  <c r="O19" i="122"/>
  <c r="L35" i="88"/>
  <c r="K35" i="88" s="1"/>
  <c r="G27" i="87"/>
  <c r="L16" i="88"/>
  <c r="K16" i="88" s="1"/>
  <c r="A4" i="52"/>
  <c r="A4" i="53" s="1"/>
  <c r="A4" i="50"/>
  <c r="A4" i="51"/>
  <c r="D24" i="46"/>
  <c r="D31" i="46" s="1"/>
  <c r="K20" i="41"/>
  <c r="K23" i="41" s="1"/>
  <c r="H42" i="87"/>
  <c r="G42" i="87" s="1"/>
  <c r="H26" i="87"/>
  <c r="H31" i="87"/>
  <c r="G31" i="87" s="1"/>
  <c r="L49" i="88"/>
  <c r="K49" i="88" s="1"/>
  <c r="E26" i="88"/>
  <c r="E51" i="88"/>
  <c r="L41" i="88"/>
  <c r="K41" i="88" s="1"/>
  <c r="E44" i="88"/>
  <c r="F33" i="123"/>
  <c r="N32" i="123"/>
  <c r="F18" i="33"/>
  <c r="A6" i="4"/>
  <c r="A6" i="32"/>
  <c r="A6" i="26"/>
  <c r="A6" i="11"/>
  <c r="A6" i="34"/>
  <c r="N1" i="34"/>
  <c r="G1" i="42"/>
  <c r="E1" i="50"/>
  <c r="E1" i="52"/>
  <c r="G1" i="56"/>
  <c r="Q1" i="72"/>
  <c r="P1" i="84"/>
  <c r="E1" i="114"/>
  <c r="L1" i="26"/>
  <c r="G1" i="38" s="1"/>
  <c r="Q1" i="126"/>
  <c r="F1" i="33"/>
  <c r="O1" i="55"/>
  <c r="E1" i="117"/>
  <c r="I1" i="127"/>
  <c r="U2" i="124" s="1"/>
  <c r="R61" i="65"/>
  <c r="P64" i="65"/>
  <c r="P36" i="57"/>
  <c r="R28" i="65"/>
  <c r="P37" i="65"/>
  <c r="I37" i="55"/>
  <c r="G39" i="55"/>
  <c r="P40" i="55" s="1"/>
  <c r="R51" i="62"/>
  <c r="P64" i="62"/>
  <c r="D16" i="128"/>
  <c r="E15" i="128"/>
  <c r="L18" i="88"/>
  <c r="H48" i="65"/>
  <c r="H66" i="65" s="1"/>
  <c r="N32" i="34"/>
  <c r="K15" i="55"/>
  <c r="R15" i="126"/>
  <c r="G48" i="65"/>
  <c r="G66" i="65" s="1"/>
  <c r="O48" i="65"/>
  <c r="O66" i="65" s="1"/>
  <c r="R16" i="69"/>
  <c r="J17" i="55"/>
  <c r="K17" i="55"/>
  <c r="L17" i="55" s="1"/>
  <c r="M18" i="55" s="1"/>
  <c r="I23" i="55"/>
  <c r="J16" i="55"/>
  <c r="K16" i="55" s="1"/>
  <c r="L16" i="55" s="1"/>
  <c r="J35" i="55"/>
  <c r="K35" i="55" s="1"/>
  <c r="L35" i="55" s="1"/>
  <c r="J32" i="55"/>
  <c r="K32" i="55" s="1"/>
  <c r="L32" i="55" s="1"/>
  <c r="K31" i="55"/>
  <c r="L31" i="55" s="1"/>
  <c r="N48" i="122"/>
  <c r="N66" i="122" s="1"/>
  <c r="K29" i="55"/>
  <c r="L29" i="55" s="1"/>
  <c r="J28" i="55"/>
  <c r="K20" i="55"/>
  <c r="L20" i="55" s="1"/>
  <c r="J21" i="55"/>
  <c r="K21" i="55" s="1"/>
  <c r="L21" i="55" s="1"/>
  <c r="J34" i="55"/>
  <c r="J36" i="55"/>
  <c r="K36" i="55" s="1"/>
  <c r="L36" i="55" s="1"/>
  <c r="G48" i="62"/>
  <c r="G66" i="62" s="1"/>
  <c r="M66" i="65"/>
  <c r="J48" i="62"/>
  <c r="J66" i="62" s="1"/>
  <c r="D15" i="122"/>
  <c r="R15" i="57"/>
  <c r="D47" i="38"/>
  <c r="L64" i="57"/>
  <c r="G55" i="122"/>
  <c r="G64" i="122" s="1"/>
  <c r="H37" i="57"/>
  <c r="H48" i="57" s="1"/>
  <c r="E45" i="87"/>
  <c r="G50" i="88"/>
  <c r="E21" i="90" s="1"/>
  <c r="D21" i="90" s="1"/>
  <c r="C22" i="90"/>
  <c r="G31" i="88"/>
  <c r="F37" i="88"/>
  <c r="M64" i="57"/>
  <c r="P56" i="57"/>
  <c r="P16" i="124"/>
  <c r="E37" i="88"/>
  <c r="G22" i="88"/>
  <c r="L22" i="88" s="1"/>
  <c r="G64" i="57"/>
  <c r="F27" i="33"/>
  <c r="G27" i="33" s="1"/>
  <c r="G14" i="33" s="1"/>
  <c r="D29" i="33"/>
  <c r="D30" i="33" s="1"/>
  <c r="I37" i="57"/>
  <c r="M37" i="57"/>
  <c r="E15" i="96"/>
  <c r="E18" i="96" s="1"/>
  <c r="E22" i="96" s="1"/>
  <c r="D19" i="1" s="1"/>
  <c r="P54" i="57"/>
  <c r="N64" i="57"/>
  <c r="E46" i="57"/>
  <c r="G20" i="88"/>
  <c r="L20" i="88" s="1"/>
  <c r="K20" i="88" s="1"/>
  <c r="R17" i="126"/>
  <c r="E26" i="33"/>
  <c r="F19" i="33"/>
  <c r="G23" i="88"/>
  <c r="L23" i="88" s="1"/>
  <c r="R14" i="125"/>
  <c r="R19" i="125" s="1"/>
  <c r="Q16" i="126"/>
  <c r="Q19" i="126" s="1"/>
  <c r="P55" i="57"/>
  <c r="G19" i="46"/>
  <c r="G24" i="46" s="1"/>
  <c r="G31" i="46" s="1"/>
  <c r="P53" i="57"/>
  <c r="P52" i="57"/>
  <c r="N31" i="123"/>
  <c r="N33" i="123" s="1"/>
  <c r="D30" i="11" s="1"/>
  <c r="L20" i="124"/>
  <c r="A4" i="123" l="1"/>
  <c r="A4" i="34"/>
  <c r="A4" i="26" s="1"/>
  <c r="E18" i="122"/>
  <c r="O18" i="122" s="1"/>
  <c r="Q18" i="57"/>
  <c r="R18" i="57" s="1"/>
  <c r="Q16" i="69"/>
  <c r="G44" i="88"/>
  <c r="F18" i="79"/>
  <c r="F19" i="79" s="1"/>
  <c r="F30" i="122"/>
  <c r="F37" i="122" s="1"/>
  <c r="F48" i="122" s="1"/>
  <c r="F66" i="122" s="1"/>
  <c r="Q30" i="57"/>
  <c r="Q37" i="57" s="1"/>
  <c r="Q48" i="57" s="1"/>
  <c r="Q16" i="57"/>
  <c r="E16" i="122"/>
  <c r="O16" i="122" s="1"/>
  <c r="G66" i="122"/>
  <c r="Q64" i="65"/>
  <c r="I16" i="46"/>
  <c r="K16" i="46" s="1"/>
  <c r="K19" i="46" s="1"/>
  <c r="K24" i="46" s="1"/>
  <c r="K31" i="46" s="1"/>
  <c r="R59" i="65"/>
  <c r="A4" i="114"/>
  <c r="A4" i="115" s="1"/>
  <c r="E26" i="97"/>
  <c r="G15" i="127"/>
  <c r="I15" i="127" s="1"/>
  <c r="B35" i="45" s="1"/>
  <c r="B35" i="11" s="1"/>
  <c r="H17" i="87"/>
  <c r="G17" i="87" s="1"/>
  <c r="N33" i="34"/>
  <c r="D29" i="11" s="1"/>
  <c r="O1" i="122"/>
  <c r="F1" i="86"/>
  <c r="N48" i="57"/>
  <c r="N66" i="57" s="1"/>
  <c r="R30" i="57"/>
  <c r="R64" i="62"/>
  <c r="Q37" i="65"/>
  <c r="Q48" i="65" s="1"/>
  <c r="Q66" i="65" s="1"/>
  <c r="E20" i="122"/>
  <c r="Q20" i="57"/>
  <c r="R20" i="57" s="1"/>
  <c r="F20" i="86"/>
  <c r="Q64" i="57"/>
  <c r="R17" i="72"/>
  <c r="R58" i="57"/>
  <c r="P48" i="65"/>
  <c r="P66" i="65" s="1"/>
  <c r="I48" i="57"/>
  <c r="I66" i="57" s="1"/>
  <c r="R51" i="57"/>
  <c r="R37" i="65"/>
  <c r="R48" i="65" s="1"/>
  <c r="R42" i="57"/>
  <c r="M48" i="57"/>
  <c r="M66" i="57" s="1"/>
  <c r="R64" i="65"/>
  <c r="R66" i="65" s="1"/>
  <c r="P46" i="57"/>
  <c r="D41" i="122"/>
  <c r="O41" i="122" s="1"/>
  <c r="D45" i="122"/>
  <c r="O45" i="122" s="1"/>
  <c r="F48" i="57"/>
  <c r="F66" i="57" s="1"/>
  <c r="E48" i="57"/>
  <c r="E66" i="57" s="1"/>
  <c r="R48" i="62"/>
  <c r="R31" i="57"/>
  <c r="H66" i="57"/>
  <c r="D35" i="122"/>
  <c r="O35" i="122" s="1"/>
  <c r="J48" i="57"/>
  <c r="J66" i="57" s="1"/>
  <c r="R60" i="57"/>
  <c r="D62" i="122"/>
  <c r="O62" i="122" s="1"/>
  <c r="R62" i="57"/>
  <c r="D40" i="122"/>
  <c r="O40" i="122" s="1"/>
  <c r="D44" i="122"/>
  <c r="O44" i="122" s="1"/>
  <c r="R44" i="57"/>
  <c r="R43" i="57"/>
  <c r="D43" i="122"/>
  <c r="O43" i="122" s="1"/>
  <c r="O48" i="57"/>
  <c r="O66" i="57" s="1"/>
  <c r="R32" i="57"/>
  <c r="L48" i="57"/>
  <c r="L66" i="57" s="1"/>
  <c r="R39" i="57"/>
  <c r="D39" i="122"/>
  <c r="O39" i="122" s="1"/>
  <c r="D61" i="122"/>
  <c r="O61" i="122" s="1"/>
  <c r="R61" i="57"/>
  <c r="F47" i="38"/>
  <c r="H21" i="87"/>
  <c r="G21" i="87" s="1"/>
  <c r="K18" i="26"/>
  <c r="M17" i="26"/>
  <c r="E16" i="90" s="1"/>
  <c r="D16" i="90" s="1"/>
  <c r="C32" i="87"/>
  <c r="G47" i="38"/>
  <c r="K21" i="88"/>
  <c r="C37" i="87"/>
  <c r="F26" i="88"/>
  <c r="F46" i="88" s="1"/>
  <c r="F53" i="88" s="1"/>
  <c r="E46" i="88"/>
  <c r="C24" i="90"/>
  <c r="D20" i="90"/>
  <c r="D22" i="90" s="1"/>
  <c r="R16" i="126"/>
  <c r="R19" i="126" s="1"/>
  <c r="R59" i="57"/>
  <c r="P64" i="57"/>
  <c r="K48" i="57"/>
  <c r="K66" i="57" s="1"/>
  <c r="D29" i="122"/>
  <c r="O29" i="122" s="1"/>
  <c r="R29" i="57"/>
  <c r="R34" i="57"/>
  <c r="D34" i="122"/>
  <c r="O34" i="122" s="1"/>
  <c r="D33" i="122"/>
  <c r="O33" i="122" s="1"/>
  <c r="R33" i="57"/>
  <c r="D27" i="122"/>
  <c r="O27" i="122" s="1"/>
  <c r="R57" i="57"/>
  <c r="D57" i="122"/>
  <c r="O57" i="122" s="1"/>
  <c r="G48" i="57"/>
  <c r="G66" i="57" s="1"/>
  <c r="D48" i="57"/>
  <c r="D66" i="57" s="1"/>
  <c r="R26" i="57"/>
  <c r="D26" i="122"/>
  <c r="O26" i="122" s="1"/>
  <c r="P66" i="62"/>
  <c r="D28" i="122"/>
  <c r="O28" i="122" s="1"/>
  <c r="R28" i="57"/>
  <c r="H37" i="87"/>
  <c r="K44" i="88"/>
  <c r="A4" i="128"/>
  <c r="A4" i="127"/>
  <c r="A4" i="124" s="1"/>
  <c r="A4" i="56" s="1"/>
  <c r="H32" i="87"/>
  <c r="G26" i="87"/>
  <c r="G32" i="87" s="1"/>
  <c r="E53" i="88"/>
  <c r="L44" i="88"/>
  <c r="C27" i="32"/>
  <c r="E30" i="33"/>
  <c r="F29" i="33"/>
  <c r="H27" i="33"/>
  <c r="H29" i="33" s="1"/>
  <c r="L50" i="88"/>
  <c r="G51" i="88"/>
  <c r="I39" i="55"/>
  <c r="K37" i="55"/>
  <c r="L37" i="55" s="1"/>
  <c r="R55" i="57"/>
  <c r="D55" i="122"/>
  <c r="O55" i="122" s="1"/>
  <c r="K22" i="88"/>
  <c r="O15" i="122"/>
  <c r="D22" i="122"/>
  <c r="J37" i="55"/>
  <c r="J30" i="55"/>
  <c r="K30" i="55" s="1"/>
  <c r="K28" i="55"/>
  <c r="L28" i="55" s="1"/>
  <c r="M29" i="55" s="1"/>
  <c r="G26" i="88"/>
  <c r="L25" i="88" s="1"/>
  <c r="O51" i="122"/>
  <c r="D53" i="122"/>
  <c r="O53" i="122" s="1"/>
  <c r="R53" i="57"/>
  <c r="K23" i="88"/>
  <c r="Q16" i="124"/>
  <c r="R16" i="124" s="1"/>
  <c r="P20" i="124"/>
  <c r="R56" i="57"/>
  <c r="D56" i="122"/>
  <c r="O56" i="122" s="1"/>
  <c r="L31" i="88"/>
  <c r="G37" i="88"/>
  <c r="J23" i="55"/>
  <c r="K18" i="88"/>
  <c r="E16" i="128"/>
  <c r="F14" i="128" s="1"/>
  <c r="R52" i="57"/>
  <c r="D52" i="122"/>
  <c r="O52" i="122" s="1"/>
  <c r="G19" i="33"/>
  <c r="G26" i="33" s="1"/>
  <c r="C28" i="32" s="1"/>
  <c r="F26" i="33"/>
  <c r="R54" i="57"/>
  <c r="D54" i="122"/>
  <c r="O54" i="122" s="1"/>
  <c r="K34" i="55"/>
  <c r="L34" i="55" s="1"/>
  <c r="M36" i="55" s="1"/>
  <c r="M32" i="55"/>
  <c r="J33" i="55"/>
  <c r="K33" i="55" s="1"/>
  <c r="L33" i="55" s="1"/>
  <c r="K23" i="55"/>
  <c r="L15" i="55"/>
  <c r="M16" i="55" s="1"/>
  <c r="M24" i="55" s="1"/>
  <c r="R36" i="57"/>
  <c r="P37" i="57"/>
  <c r="D36" i="122"/>
  <c r="O36" i="122" s="1"/>
  <c r="C13" i="85"/>
  <c r="D20" i="11" l="1"/>
  <c r="D25" i="11" s="1"/>
  <c r="F15" i="128"/>
  <c r="H15" i="128" s="1"/>
  <c r="I19" i="46"/>
  <c r="I24" i="46" s="1"/>
  <c r="I31" i="46" s="1"/>
  <c r="Q22" i="57"/>
  <c r="Q66" i="57" s="1"/>
  <c r="R16" i="57"/>
  <c r="R22" i="57" s="1"/>
  <c r="C39" i="87"/>
  <c r="C45" i="87" s="1"/>
  <c r="G16" i="127"/>
  <c r="G22" i="87"/>
  <c r="G39" i="87" s="1"/>
  <c r="L13" i="26"/>
  <c r="L18" i="26" s="1"/>
  <c r="D15" i="11"/>
  <c r="F30" i="33"/>
  <c r="O20" i="122"/>
  <c r="O22" i="122" s="1"/>
  <c r="E22" i="122"/>
  <c r="E66" i="122" s="1"/>
  <c r="P48" i="57"/>
  <c r="P66" i="57" s="1"/>
  <c r="R66" i="62"/>
  <c r="R46" i="57"/>
  <c r="D46" i="122"/>
  <c r="H22" i="87"/>
  <c r="H39" i="87" s="1"/>
  <c r="G46" i="88"/>
  <c r="G53" i="88" s="1"/>
  <c r="D18" i="11"/>
  <c r="E22" i="90"/>
  <c r="R64" i="57"/>
  <c r="I35" i="136" s="1"/>
  <c r="R37" i="57"/>
  <c r="O46" i="122"/>
  <c r="O37" i="122"/>
  <c r="H19" i="33"/>
  <c r="F16" i="128"/>
  <c r="K31" i="88"/>
  <c r="K37" i="88" s="1"/>
  <c r="L37" i="88"/>
  <c r="R20" i="124"/>
  <c r="U16" i="124"/>
  <c r="U20" i="124" s="1"/>
  <c r="Q20" i="124" s="1"/>
  <c r="H14" i="127" s="1"/>
  <c r="B12" i="53" s="1"/>
  <c r="O64" i="122"/>
  <c r="K25" i="88"/>
  <c r="K26" i="88" s="1"/>
  <c r="L30" i="55"/>
  <c r="L40" i="55" s="1"/>
  <c r="K39" i="55"/>
  <c r="L26" i="88"/>
  <c r="C29" i="32"/>
  <c r="F27" i="32"/>
  <c r="E29" i="32"/>
  <c r="G29" i="33"/>
  <c r="E13" i="85"/>
  <c r="E14" i="85" s="1"/>
  <c r="C14" i="85"/>
  <c r="D64" i="122"/>
  <c r="J39" i="55"/>
  <c r="D37" i="122"/>
  <c r="K50" i="88"/>
  <c r="K51" i="88" s="1"/>
  <c r="L51" i="88"/>
  <c r="E20" i="130" l="1"/>
  <c r="E22" i="130" s="1"/>
  <c r="K35" i="136"/>
  <c r="O35" i="136" s="1"/>
  <c r="G20" i="130" s="1"/>
  <c r="G22" i="130" s="1"/>
  <c r="D27" i="11"/>
  <c r="H26" i="33"/>
  <c r="M13" i="26"/>
  <c r="M18" i="26" s="1"/>
  <c r="E13" i="90" s="1"/>
  <c r="D13" i="90" s="1"/>
  <c r="D18" i="90" s="1"/>
  <c r="D24" i="90" s="1"/>
  <c r="D48" i="122"/>
  <c r="D66" i="122" s="1"/>
  <c r="R48" i="57"/>
  <c r="R66" i="57" s="1"/>
  <c r="D14" i="1" s="1"/>
  <c r="L46" i="88"/>
  <c r="L53" i="88" s="1"/>
  <c r="D15" i="1" s="1"/>
  <c r="G45" i="87"/>
  <c r="H45" i="87"/>
  <c r="K46" i="88"/>
  <c r="K53" i="88" s="1"/>
  <c r="O48" i="122"/>
  <c r="G18" i="33"/>
  <c r="H14" i="33"/>
  <c r="E18" i="90" l="1"/>
  <c r="E24" i="90" s="1"/>
  <c r="I14" i="127"/>
  <c r="G14" i="128"/>
  <c r="H14" i="128" s="1"/>
  <c r="H16" i="128" s="1"/>
  <c r="D20" i="4"/>
  <c r="D20" i="29" s="1"/>
  <c r="E26" i="90"/>
  <c r="D26" i="90" s="1"/>
  <c r="G30" i="33"/>
  <c r="D28" i="32"/>
  <c r="O66" i="122"/>
  <c r="H18" i="33"/>
  <c r="H30" i="33" s="1"/>
  <c r="D31" i="11" s="1"/>
  <c r="B34" i="45" l="1"/>
  <c r="B34" i="11" s="1"/>
  <c r="B15" i="119"/>
  <c r="I16" i="127"/>
  <c r="D15" i="4"/>
  <c r="D15" i="29" s="1"/>
  <c r="D29" i="32"/>
  <c r="F28" i="32"/>
  <c r="F29" i="32" s="1"/>
  <c r="B10" i="53" l="1"/>
  <c r="B14" i="119"/>
  <c r="D19" i="4"/>
  <c r="D19" i="29" s="1"/>
  <c r="D16" i="4" l="1"/>
  <c r="D16" i="29" s="1"/>
  <c r="D32" i="11" l="1"/>
  <c r="C20" i="119"/>
  <c r="D34" i="11" l="1"/>
  <c r="C13" i="119"/>
  <c r="D35" i="11"/>
  <c r="C15" i="119" l="1"/>
  <c r="D36" i="11"/>
  <c r="I47" i="136" s="1"/>
  <c r="D14" i="4"/>
  <c r="E28" i="130" l="1"/>
  <c r="K47" i="136"/>
  <c r="O47" i="136" s="1"/>
  <c r="C14" i="119"/>
  <c r="D17" i="1"/>
  <c r="D14" i="29"/>
  <c r="G28" i="130" l="1"/>
  <c r="D17" i="4"/>
  <c r="D17" i="29" s="1"/>
  <c r="C16" i="119" l="1"/>
  <c r="C23" i="119" s="1"/>
  <c r="C25" i="119" s="1"/>
  <c r="D18" i="1" l="1"/>
  <c r="D18" i="4" s="1"/>
  <c r="D18" i="29" s="1"/>
  <c r="I44" i="136"/>
  <c r="E33" i="130" l="1"/>
  <c r="K44" i="136"/>
  <c r="I49" i="136"/>
  <c r="D21" i="1"/>
  <c r="D21" i="4"/>
  <c r="K49" i="136" l="1"/>
  <c r="O44" i="136"/>
  <c r="O49" i="136" s="1"/>
  <c r="G33" i="130"/>
  <c r="G35" i="130" s="1"/>
  <c r="G12" i="132" s="1"/>
  <c r="G26" i="132" s="1"/>
  <c r="E35" i="130"/>
  <c r="K12" i="132" s="1"/>
  <c r="D21" i="29"/>
  <c r="O448" i="135" l="1"/>
  <c r="Q448" i="135" s="1"/>
  <c r="W448" i="135" s="1"/>
  <c r="O431" i="135"/>
  <c r="Q431" i="135" s="1"/>
  <c r="W431" i="135" s="1"/>
  <c r="O455" i="135"/>
  <c r="Q455" i="135" s="1"/>
  <c r="W455" i="135" s="1"/>
  <c r="O416" i="135"/>
  <c r="Q416" i="135" s="1"/>
  <c r="W416" i="135" s="1"/>
  <c r="O392" i="135"/>
  <c r="Q392" i="135" s="1"/>
  <c r="W392" i="135" s="1"/>
  <c r="O361" i="135"/>
  <c r="Q361" i="135" s="1"/>
  <c r="W361" i="135" s="1"/>
  <c r="O340" i="135"/>
  <c r="Q340" i="135" s="1"/>
  <c r="W340" i="135" s="1"/>
  <c r="O326" i="135"/>
  <c r="Q326" i="135" s="1"/>
  <c r="W326" i="135" s="1"/>
  <c r="O442" i="135"/>
  <c r="Q442" i="135" s="1"/>
  <c r="W442" i="135" s="1"/>
  <c r="O409" i="135"/>
  <c r="Q409" i="135" s="1"/>
  <c r="W409" i="135" s="1"/>
  <c r="O391" i="135"/>
  <c r="Q391" i="135" s="1"/>
  <c r="W391" i="135" s="1"/>
  <c r="O365" i="135"/>
  <c r="Q365" i="135" s="1"/>
  <c r="W365" i="135" s="1"/>
  <c r="O333" i="135"/>
  <c r="Q333" i="135" s="1"/>
  <c r="W333" i="135" s="1"/>
  <c r="O306" i="135"/>
  <c r="Q306" i="135" s="1"/>
  <c r="W306" i="135" s="1"/>
  <c r="O288" i="135"/>
  <c r="Q288" i="135" s="1"/>
  <c r="W288" i="135" s="1"/>
  <c r="O267" i="135"/>
  <c r="Q267" i="135" s="1"/>
  <c r="W267" i="135" s="1"/>
  <c r="O249" i="135"/>
  <c r="Q249" i="135" s="1"/>
  <c r="W249" i="135" s="1"/>
  <c r="O224" i="135"/>
  <c r="Q224" i="135" s="1"/>
  <c r="W224" i="135" s="1"/>
  <c r="O211" i="135"/>
  <c r="Q211" i="135" s="1"/>
  <c r="W211" i="135" s="1"/>
  <c r="O185" i="135"/>
  <c r="Q185" i="135" s="1"/>
  <c r="W185" i="135" s="1"/>
  <c r="O168" i="135"/>
  <c r="Q168" i="135" s="1"/>
  <c r="W168" i="135" s="1"/>
  <c r="O380" i="135"/>
  <c r="Q380" i="135" s="1"/>
  <c r="W380" i="135" s="1"/>
  <c r="O343" i="135"/>
  <c r="Q343" i="135" s="1"/>
  <c r="W343" i="135" s="1"/>
  <c r="O322" i="135"/>
  <c r="Q322" i="135" s="1"/>
  <c r="W322" i="135" s="1"/>
  <c r="O295" i="135"/>
  <c r="Q295" i="135" s="1"/>
  <c r="W295" i="135" s="1"/>
  <c r="O260" i="135"/>
  <c r="Q260" i="135" s="1"/>
  <c r="W260" i="135" s="1"/>
  <c r="O225" i="135"/>
  <c r="Q225" i="135" s="1"/>
  <c r="W225" i="135" s="1"/>
  <c r="O209" i="135"/>
  <c r="Q209" i="135" s="1"/>
  <c r="W209" i="135" s="1"/>
  <c r="O447" i="135"/>
  <c r="Q447" i="135" s="1"/>
  <c r="W447" i="135" s="1"/>
  <c r="O432" i="135"/>
  <c r="Q432" i="135" s="1"/>
  <c r="W432" i="135" s="1"/>
  <c r="O397" i="135"/>
  <c r="Q397" i="135" s="1"/>
  <c r="W397" i="135" s="1"/>
  <c r="O378" i="135"/>
  <c r="Q378" i="135" s="1"/>
  <c r="W378" i="135" s="1"/>
  <c r="O368" i="135"/>
  <c r="Q368" i="135" s="1"/>
  <c r="W368" i="135" s="1"/>
  <c r="O316" i="135"/>
  <c r="Q316" i="135" s="1"/>
  <c r="O290" i="135"/>
  <c r="Q290" i="135" s="1"/>
  <c r="W290" i="135" s="1"/>
  <c r="O246" i="135"/>
  <c r="Q246" i="135" s="1"/>
  <c r="W246" i="135" s="1"/>
  <c r="O218" i="135"/>
  <c r="Q218" i="135" s="1"/>
  <c r="W218" i="135" s="1"/>
  <c r="O182" i="135"/>
  <c r="Q182" i="135" s="1"/>
  <c r="W182" i="135" s="1"/>
  <c r="O169" i="135"/>
  <c r="Q169" i="135" s="1"/>
  <c r="W169" i="135" s="1"/>
  <c r="O358" i="135"/>
  <c r="Q358" i="135" s="1"/>
  <c r="W358" i="135" s="1"/>
  <c r="O283" i="135"/>
  <c r="Q283" i="135" s="1"/>
  <c r="W283" i="135" s="1"/>
  <c r="O210" i="135"/>
  <c r="Q210" i="135" s="1"/>
  <c r="W210" i="135" s="1"/>
  <c r="O184" i="135"/>
  <c r="Q184" i="135" s="1"/>
  <c r="W184" i="135" s="1"/>
  <c r="O389" i="135"/>
  <c r="Q389" i="135" s="1"/>
  <c r="O321" i="135"/>
  <c r="Q321" i="135" s="1"/>
  <c r="W321" i="135" s="1"/>
  <c r="O256" i="135"/>
  <c r="Q256" i="135" s="1"/>
  <c r="W256" i="135" s="1"/>
  <c r="O157" i="135"/>
  <c r="Q157" i="135" s="1"/>
  <c r="W157" i="135" s="1"/>
  <c r="O140" i="135"/>
  <c r="Q140" i="135" s="1"/>
  <c r="W140" i="135" s="1"/>
  <c r="O119" i="135"/>
  <c r="Q119" i="135" s="1"/>
  <c r="W119" i="135" s="1"/>
  <c r="O102" i="135"/>
  <c r="Q102" i="135" s="1"/>
  <c r="W102" i="135" s="1"/>
  <c r="O75" i="135"/>
  <c r="Q75" i="135" s="1"/>
  <c r="W75" i="135" s="1"/>
  <c r="O57" i="135"/>
  <c r="Q57" i="135" s="1"/>
  <c r="W57" i="135" s="1"/>
  <c r="O29" i="135"/>
  <c r="Q29" i="135" s="1"/>
  <c r="W29" i="135" s="1"/>
  <c r="O16" i="135"/>
  <c r="Q16" i="135" s="1"/>
  <c r="W16" i="135" s="1"/>
  <c r="O390" i="135"/>
  <c r="Q390" i="135" s="1"/>
  <c r="W390" i="135" s="1"/>
  <c r="O268" i="135"/>
  <c r="Q268" i="135" s="1"/>
  <c r="W268" i="135" s="1"/>
  <c r="O221" i="135"/>
  <c r="Q221" i="135" s="1"/>
  <c r="W221" i="135" s="1"/>
  <c r="O173" i="135"/>
  <c r="Q173" i="135" s="1"/>
  <c r="W173" i="135" s="1"/>
  <c r="O149" i="135"/>
  <c r="Q149" i="135" s="1"/>
  <c r="W149" i="135" s="1"/>
  <c r="O132" i="135"/>
  <c r="Q132" i="135" s="1"/>
  <c r="W132" i="135" s="1"/>
  <c r="O103" i="135"/>
  <c r="Q103" i="135" s="1"/>
  <c r="W103" i="135" s="1"/>
  <c r="O80" i="135"/>
  <c r="Q80" i="135" s="1"/>
  <c r="W80" i="135" s="1"/>
  <c r="O58" i="135"/>
  <c r="Q58" i="135" s="1"/>
  <c r="W58" i="135" s="1"/>
  <c r="O35" i="135"/>
  <c r="Q35" i="135" s="1"/>
  <c r="W35" i="135" s="1"/>
  <c r="O17" i="135"/>
  <c r="Q17" i="135" s="1"/>
  <c r="W17" i="135" s="1"/>
  <c r="O318" i="135"/>
  <c r="Q318" i="135" s="1"/>
  <c r="W318" i="135" s="1"/>
  <c r="O100" i="135"/>
  <c r="Q100" i="135" s="1"/>
  <c r="W100" i="135" s="1"/>
  <c r="O92" i="135"/>
  <c r="Q92" i="135" s="1"/>
  <c r="W92" i="135" s="1"/>
  <c r="O36" i="135"/>
  <c r="Q36" i="135" s="1"/>
  <c r="W36" i="135" s="1"/>
  <c r="O142" i="135"/>
  <c r="Q142" i="135" s="1"/>
  <c r="W142" i="135" s="1"/>
  <c r="O68" i="135"/>
  <c r="Q68" i="135" s="1"/>
  <c r="W68" i="135" s="1"/>
  <c r="O18" i="135"/>
  <c r="Q18" i="135" s="1"/>
  <c r="W18" i="135" s="1"/>
  <c r="O175" i="135"/>
  <c r="Q175" i="135" s="1"/>
  <c r="W175" i="135" s="1"/>
  <c r="O101" i="135"/>
  <c r="Q101" i="135" s="1"/>
  <c r="W101" i="135" s="1"/>
  <c r="O55" i="135"/>
  <c r="Q55" i="135" s="1"/>
  <c r="W55" i="135" s="1"/>
  <c r="O214" i="135"/>
  <c r="Q214" i="135" s="1"/>
  <c r="W214" i="135" s="1"/>
  <c r="O129" i="135"/>
  <c r="Q129" i="135" s="1"/>
  <c r="O77" i="135"/>
  <c r="Q77" i="135" s="1"/>
  <c r="W77" i="135" s="1"/>
  <c r="O27" i="135"/>
  <c r="Q27" i="135" s="1"/>
  <c r="W27" i="135" s="1"/>
  <c r="O330" i="135"/>
  <c r="Q330" i="135" s="1"/>
  <c r="W330" i="135" s="1"/>
  <c r="O265" i="135"/>
  <c r="Q265" i="135" s="1"/>
  <c r="O64" i="135"/>
  <c r="Q64" i="135" s="1"/>
  <c r="W64" i="135" s="1"/>
  <c r="O223" i="135"/>
  <c r="Q223" i="135" s="1"/>
  <c r="W223" i="135" s="1"/>
  <c r="O113" i="135"/>
  <c r="Q113" i="135" s="1"/>
  <c r="O444" i="135"/>
  <c r="Q444" i="135" s="1"/>
  <c r="W444" i="135" s="1"/>
  <c r="O417" i="135"/>
  <c r="Q417" i="135" s="1"/>
  <c r="W417" i="135" s="1"/>
  <c r="O446" i="135"/>
  <c r="Q446" i="135" s="1"/>
  <c r="W446" i="135" s="1"/>
  <c r="O405" i="135"/>
  <c r="Q405" i="135" s="1"/>
  <c r="W405" i="135" s="1"/>
  <c r="O379" i="135"/>
  <c r="Q379" i="135" s="1"/>
  <c r="W379" i="135" s="1"/>
  <c r="O357" i="135"/>
  <c r="Q357" i="135" s="1"/>
  <c r="W357" i="135" s="1"/>
  <c r="O335" i="135"/>
  <c r="Q335" i="135" s="1"/>
  <c r="W335" i="135" s="1"/>
  <c r="O456" i="135"/>
  <c r="Q456" i="135" s="1"/>
  <c r="W456" i="135" s="1"/>
  <c r="O438" i="135"/>
  <c r="Q438" i="135" s="1"/>
  <c r="W438" i="135" s="1"/>
  <c r="O406" i="135"/>
  <c r="Q406" i="135" s="1"/>
  <c r="W406" i="135" s="1"/>
  <c r="O381" i="135"/>
  <c r="Q381" i="135" s="1"/>
  <c r="W381" i="135" s="1"/>
  <c r="O360" i="135"/>
  <c r="Q360" i="135" s="1"/>
  <c r="W360" i="135" s="1"/>
  <c r="O328" i="135"/>
  <c r="Q328" i="135" s="1"/>
  <c r="W328" i="135" s="1"/>
  <c r="O302" i="135"/>
  <c r="Q302" i="135" s="1"/>
  <c r="O284" i="135"/>
  <c r="Q284" i="135" s="1"/>
  <c r="W284" i="135" s="1"/>
  <c r="O262" i="135"/>
  <c r="Q262" i="135" s="1"/>
  <c r="W262" i="135" s="1"/>
  <c r="O245" i="135"/>
  <c r="Q245" i="135" s="1"/>
  <c r="W245" i="135" s="1"/>
  <c r="O220" i="135"/>
  <c r="Q220" i="135" s="1"/>
  <c r="W220" i="135" s="1"/>
  <c r="O207" i="135"/>
  <c r="Q207" i="135" s="1"/>
  <c r="W207" i="135" s="1"/>
  <c r="O181" i="135"/>
  <c r="Q181" i="135" s="1"/>
  <c r="W181" i="135" s="1"/>
  <c r="O159" i="135"/>
  <c r="Q159" i="135" s="1"/>
  <c r="W159" i="135" s="1"/>
  <c r="O372" i="135"/>
  <c r="Q372" i="135" s="1"/>
  <c r="W372" i="135" s="1"/>
  <c r="O342" i="135"/>
  <c r="Q342" i="135" s="1"/>
  <c r="W342" i="135" s="1"/>
  <c r="O307" i="135"/>
  <c r="Q307" i="135" s="1"/>
  <c r="W307" i="135" s="1"/>
  <c r="O285" i="135"/>
  <c r="Q285" i="135" s="1"/>
  <c r="W285" i="135" s="1"/>
  <c r="O255" i="135"/>
  <c r="Q255" i="135" s="1"/>
  <c r="W255" i="135" s="1"/>
  <c r="O222" i="135"/>
  <c r="Q222" i="135" s="1"/>
  <c r="W222" i="135" s="1"/>
  <c r="O196" i="135"/>
  <c r="Q196" i="135" s="1"/>
  <c r="W196" i="135" s="1"/>
  <c r="O445" i="135"/>
  <c r="Q445" i="135" s="1"/>
  <c r="W445" i="135" s="1"/>
  <c r="O415" i="135"/>
  <c r="Q415" i="135" s="1"/>
  <c r="W415" i="135" s="1"/>
  <c r="O395" i="135"/>
  <c r="Q395" i="135" s="1"/>
  <c r="W395" i="135" s="1"/>
  <c r="O377" i="135"/>
  <c r="Q377" i="135" s="1"/>
  <c r="W377" i="135" s="1"/>
  <c r="O367" i="135"/>
  <c r="Q367" i="135" s="1"/>
  <c r="W367" i="135" s="1"/>
  <c r="O299" i="135"/>
  <c r="Q299" i="135" s="1"/>
  <c r="W299" i="135" s="1"/>
  <c r="O279" i="135"/>
  <c r="Q279" i="135" s="1"/>
  <c r="O244" i="135"/>
  <c r="Q244" i="135" s="1"/>
  <c r="W244" i="135" s="1"/>
  <c r="O206" i="135"/>
  <c r="Q206" i="135" s="1"/>
  <c r="W206" i="135" s="1"/>
  <c r="O179" i="135"/>
  <c r="Q179" i="135" s="1"/>
  <c r="W179" i="135" s="1"/>
  <c r="O452" i="135"/>
  <c r="Q452" i="135" s="1"/>
  <c r="W452" i="135" s="1"/>
  <c r="O354" i="135"/>
  <c r="Q354" i="135" s="1"/>
  <c r="W354" i="135" s="1"/>
  <c r="O266" i="135"/>
  <c r="Q266" i="135" s="1"/>
  <c r="W266" i="135" s="1"/>
  <c r="O205" i="135"/>
  <c r="Q205" i="135" s="1"/>
  <c r="O178" i="135"/>
  <c r="Q178" i="135" s="1"/>
  <c r="W178" i="135" s="1"/>
  <c r="O364" i="135"/>
  <c r="Q364" i="135" s="1"/>
  <c r="W364" i="135" s="1"/>
  <c r="O320" i="135"/>
  <c r="Q320" i="135" s="1"/>
  <c r="W320" i="135" s="1"/>
  <c r="O251" i="135"/>
  <c r="Q251" i="135" s="1"/>
  <c r="W251" i="135" s="1"/>
  <c r="O153" i="135"/>
  <c r="Q153" i="135" s="1"/>
  <c r="W153" i="135" s="1"/>
  <c r="O139" i="135"/>
  <c r="Q139" i="135" s="1"/>
  <c r="W139" i="135" s="1"/>
  <c r="O115" i="135"/>
  <c r="Q115" i="135" s="1"/>
  <c r="W115" i="135" s="1"/>
  <c r="O97" i="135"/>
  <c r="Q97" i="135" s="1"/>
  <c r="W97" i="135" s="1"/>
  <c r="O70" i="135"/>
  <c r="Q70" i="135" s="1"/>
  <c r="W70" i="135" s="1"/>
  <c r="O53" i="135"/>
  <c r="Q53" i="135" s="1"/>
  <c r="W53" i="135" s="1"/>
  <c r="O25" i="135"/>
  <c r="Q25" i="135" s="1"/>
  <c r="W25" i="135" s="1"/>
  <c r="O12" i="135"/>
  <c r="Q12" i="135" s="1"/>
  <c r="W12" i="135" s="1"/>
  <c r="O356" i="135"/>
  <c r="Q356" i="135" s="1"/>
  <c r="W356" i="135" s="1"/>
  <c r="O234" i="135"/>
  <c r="Q234" i="135" s="1"/>
  <c r="W234" i="135" s="1"/>
  <c r="O213" i="135"/>
  <c r="Q213" i="135" s="1"/>
  <c r="W213" i="135" s="1"/>
  <c r="O167" i="135"/>
  <c r="Q167" i="135" s="1"/>
  <c r="O145" i="135"/>
  <c r="Q145" i="135" s="1"/>
  <c r="W145" i="135" s="1"/>
  <c r="O120" i="135"/>
  <c r="Q120" i="135" s="1"/>
  <c r="W120" i="135" s="1"/>
  <c r="O98" i="135"/>
  <c r="Q98" i="135" s="1"/>
  <c r="W98" i="135" s="1"/>
  <c r="O76" i="135"/>
  <c r="Q76" i="135" s="1"/>
  <c r="W76" i="135" s="1"/>
  <c r="O54" i="135"/>
  <c r="Q54" i="135" s="1"/>
  <c r="W54" i="135" s="1"/>
  <c r="O30" i="135"/>
  <c r="Q30" i="135" s="1"/>
  <c r="W30" i="135" s="1"/>
  <c r="O13" i="135"/>
  <c r="Q13" i="135" s="1"/>
  <c r="W13" i="135" s="1"/>
  <c r="O270" i="135"/>
  <c r="Q270" i="135" s="1"/>
  <c r="W270" i="135" s="1"/>
  <c r="O99" i="135"/>
  <c r="Q99" i="135" s="1"/>
  <c r="W99" i="135" s="1"/>
  <c r="O91" i="135"/>
  <c r="Q91" i="135" s="1"/>
  <c r="W91" i="135" s="1"/>
  <c r="O286" i="135"/>
  <c r="Q286" i="135" s="1"/>
  <c r="W286" i="135" s="1"/>
  <c r="O114" i="135"/>
  <c r="Q114" i="135" s="1"/>
  <c r="W114" i="135" s="1"/>
  <c r="O65" i="135"/>
  <c r="Q65" i="135" s="1"/>
  <c r="W65" i="135" s="1"/>
  <c r="O15" i="135"/>
  <c r="Q15" i="135" s="1"/>
  <c r="W15" i="135" s="1"/>
  <c r="O138" i="135"/>
  <c r="Q138" i="135" s="1"/>
  <c r="W138" i="135" s="1"/>
  <c r="O60" i="135"/>
  <c r="Q60" i="135" s="1"/>
  <c r="W60" i="135" s="1"/>
  <c r="O51" i="135"/>
  <c r="Q51" i="135" s="1"/>
  <c r="W51" i="135" s="1"/>
  <c r="O170" i="135"/>
  <c r="Q170" i="135" s="1"/>
  <c r="W170" i="135" s="1"/>
  <c r="O118" i="135"/>
  <c r="Q118" i="135" s="1"/>
  <c r="W118" i="135" s="1"/>
  <c r="O74" i="135"/>
  <c r="Q74" i="135" s="1"/>
  <c r="W74" i="135" s="1"/>
  <c r="O24" i="135"/>
  <c r="Q24" i="135" s="1"/>
  <c r="W24" i="135" s="1"/>
  <c r="O308" i="135"/>
  <c r="Q308" i="135" s="1"/>
  <c r="W308" i="135" s="1"/>
  <c r="O252" i="135"/>
  <c r="Q252" i="135" s="1"/>
  <c r="W252" i="135" s="1"/>
  <c r="O14" i="135"/>
  <c r="Q14" i="135" s="1"/>
  <c r="W14" i="135" s="1"/>
  <c r="O186" i="135"/>
  <c r="Q186" i="135" s="1"/>
  <c r="W186" i="135" s="1"/>
  <c r="O109" i="135"/>
  <c r="Q109" i="135" s="1"/>
  <c r="W109" i="135" s="1"/>
  <c r="O10" i="135"/>
  <c r="Q10" i="135" s="1"/>
  <c r="O413" i="135"/>
  <c r="Q413" i="135" s="1"/>
  <c r="W413" i="135" s="1"/>
  <c r="O440" i="135"/>
  <c r="Q440" i="135" s="1"/>
  <c r="W440" i="135" s="1"/>
  <c r="O441" i="135"/>
  <c r="Q441" i="135" s="1"/>
  <c r="W441" i="135" s="1"/>
  <c r="O370" i="135"/>
  <c r="Q370" i="135" s="1"/>
  <c r="W370" i="135" s="1"/>
  <c r="O331" i="135"/>
  <c r="Q331" i="135" s="1"/>
  <c r="W331" i="135" s="1"/>
  <c r="O437" i="135"/>
  <c r="Q437" i="135" s="1"/>
  <c r="W437" i="135" s="1"/>
  <c r="O376" i="135"/>
  <c r="Q376" i="135" s="1"/>
  <c r="O323" i="135"/>
  <c r="Q323" i="135" s="1"/>
  <c r="W323" i="135" s="1"/>
  <c r="O280" i="135"/>
  <c r="Q280" i="135" s="1"/>
  <c r="W280" i="135" s="1"/>
  <c r="O233" i="135"/>
  <c r="Q233" i="135" s="1"/>
  <c r="W233" i="135" s="1"/>
  <c r="O194" i="135"/>
  <c r="Q194" i="135" s="1"/>
  <c r="W194" i="135" s="1"/>
  <c r="O404" i="135"/>
  <c r="Q404" i="135" s="1"/>
  <c r="W404" i="135" s="1"/>
  <c r="O341" i="135"/>
  <c r="Q341" i="135" s="1"/>
  <c r="W341" i="135" s="1"/>
  <c r="O282" i="135"/>
  <c r="Q282" i="135" s="1"/>
  <c r="W282" i="135" s="1"/>
  <c r="O217" i="135"/>
  <c r="Q217" i="135" s="1"/>
  <c r="W217" i="135" s="1"/>
  <c r="O439" i="135"/>
  <c r="Q439" i="135" s="1"/>
  <c r="W439" i="135" s="1"/>
  <c r="O394" i="135"/>
  <c r="Q394" i="135" s="1"/>
  <c r="W394" i="135" s="1"/>
  <c r="O412" i="135"/>
  <c r="Q412" i="135" s="1"/>
  <c r="O261" i="135"/>
  <c r="Q261" i="135" s="1"/>
  <c r="W261" i="135" s="1"/>
  <c r="O195" i="135"/>
  <c r="Q195" i="135" s="1"/>
  <c r="W195" i="135" s="1"/>
  <c r="O430" i="135"/>
  <c r="Q430" i="135" s="1"/>
  <c r="W430" i="135" s="1"/>
  <c r="O259" i="135"/>
  <c r="Q259" i="135" s="1"/>
  <c r="W259" i="135" s="1"/>
  <c r="O171" i="135"/>
  <c r="Q171" i="135" s="1"/>
  <c r="W171" i="135" s="1"/>
  <c r="O296" i="135"/>
  <c r="Q296" i="135" s="1"/>
  <c r="W296" i="135" s="1"/>
  <c r="O148" i="135"/>
  <c r="Q148" i="135" s="1"/>
  <c r="W148" i="135" s="1"/>
  <c r="O110" i="135"/>
  <c r="Q110" i="135" s="1"/>
  <c r="W110" i="135" s="1"/>
  <c r="O66" i="135"/>
  <c r="Q66" i="135" s="1"/>
  <c r="W66" i="135" s="1"/>
  <c r="O21" i="135"/>
  <c r="Q21" i="135" s="1"/>
  <c r="W21" i="135" s="1"/>
  <c r="O317" i="135"/>
  <c r="Q317" i="135" s="1"/>
  <c r="W317" i="135" s="1"/>
  <c r="O208" i="135"/>
  <c r="Q208" i="135" s="1"/>
  <c r="W208" i="135" s="1"/>
  <c r="O141" i="135"/>
  <c r="Q141" i="135" s="1"/>
  <c r="W141" i="135" s="1"/>
  <c r="O94" i="135"/>
  <c r="Q94" i="135" s="1"/>
  <c r="W94" i="135" s="1"/>
  <c r="O50" i="135"/>
  <c r="Q50" i="135" s="1"/>
  <c r="O363" i="135"/>
  <c r="Q363" i="135" s="1"/>
  <c r="W363" i="135" s="1"/>
  <c r="O96" i="135"/>
  <c r="Q96" i="135" s="1"/>
  <c r="W96" i="135" s="1"/>
  <c r="O147" i="135"/>
  <c r="Q147" i="135" s="1"/>
  <c r="W147" i="135" s="1"/>
  <c r="O61" i="135"/>
  <c r="Q61" i="135" s="1"/>
  <c r="W61" i="135" s="1"/>
  <c r="O133" i="135"/>
  <c r="Q133" i="135" s="1"/>
  <c r="W133" i="135" s="1"/>
  <c r="O407" i="135"/>
  <c r="Q407" i="135" s="1"/>
  <c r="W407" i="135" s="1"/>
  <c r="O117" i="135"/>
  <c r="Q117" i="135" s="1"/>
  <c r="W117" i="135" s="1"/>
  <c r="O23" i="135"/>
  <c r="Q23" i="135" s="1"/>
  <c r="W23" i="135" s="1"/>
  <c r="O152" i="135"/>
  <c r="Q152" i="135" s="1"/>
  <c r="O137" i="135"/>
  <c r="Q137" i="135" s="1"/>
  <c r="W137" i="135" s="1"/>
  <c r="O52" i="135"/>
  <c r="Q52" i="135" s="1"/>
  <c r="W52" i="135" s="1"/>
  <c r="O401" i="135"/>
  <c r="Q401" i="135" s="1"/>
  <c r="W401" i="135" s="1"/>
  <c r="O451" i="135"/>
  <c r="Q451" i="135" s="1"/>
  <c r="O297" i="135"/>
  <c r="Q297" i="135" s="1"/>
  <c r="W297" i="135" s="1"/>
  <c r="O216" i="135"/>
  <c r="Q216" i="135" s="1"/>
  <c r="W216" i="135" s="1"/>
  <c r="O359" i="135"/>
  <c r="Q359" i="135" s="1"/>
  <c r="W359" i="135" s="1"/>
  <c r="O248" i="135"/>
  <c r="Q248" i="135" s="1"/>
  <c r="W248" i="135" s="1"/>
  <c r="O414" i="135"/>
  <c r="Q414" i="135" s="1"/>
  <c r="W414" i="135" s="1"/>
  <c r="O292" i="135"/>
  <c r="Q292" i="135" s="1"/>
  <c r="W292" i="135" s="1"/>
  <c r="O243" i="135"/>
  <c r="Q243" i="135" s="1"/>
  <c r="W243" i="135" s="1"/>
  <c r="O324" i="135"/>
  <c r="Q324" i="135" s="1"/>
  <c r="W324" i="135" s="1"/>
  <c r="O329" i="135"/>
  <c r="Q329" i="135" s="1"/>
  <c r="W329" i="135" s="1"/>
  <c r="O135" i="135"/>
  <c r="Q135" i="135" s="1"/>
  <c r="W135" i="135" s="1"/>
  <c r="O38" i="135"/>
  <c r="Q38" i="135" s="1"/>
  <c r="W38" i="135" s="1"/>
  <c r="O232" i="135"/>
  <c r="Q232" i="135" s="1"/>
  <c r="W232" i="135" s="1"/>
  <c r="O116" i="135"/>
  <c r="Q116" i="135" s="1"/>
  <c r="W116" i="135" s="1"/>
  <c r="O26" i="135"/>
  <c r="Q26" i="135" s="1"/>
  <c r="W26" i="135" s="1"/>
  <c r="O40" i="135"/>
  <c r="Q40" i="135" s="1"/>
  <c r="W40" i="135" s="1"/>
  <c r="O257" i="135"/>
  <c r="Q257" i="135" s="1"/>
  <c r="W257" i="135" s="1"/>
  <c r="O156" i="135"/>
  <c r="Q156" i="135" s="1"/>
  <c r="W156" i="135" s="1"/>
  <c r="O303" i="135"/>
  <c r="Q303" i="135" s="1"/>
  <c r="W303" i="135" s="1"/>
  <c r="O105" i="135"/>
  <c r="Q105" i="135" s="1"/>
  <c r="W105" i="135" s="1"/>
  <c r="O435" i="135"/>
  <c r="Q435" i="135" s="1"/>
  <c r="W435" i="135" s="1"/>
  <c r="O434" i="135"/>
  <c r="Q434" i="135" s="1"/>
  <c r="W434" i="135" s="1"/>
  <c r="O366" i="135"/>
  <c r="Q366" i="135" s="1"/>
  <c r="W366" i="135" s="1"/>
  <c r="O327" i="135"/>
  <c r="Q327" i="135" s="1"/>
  <c r="W327" i="135" s="1"/>
  <c r="O436" i="135"/>
  <c r="Q436" i="135" s="1"/>
  <c r="W436" i="135" s="1"/>
  <c r="O373" i="135"/>
  <c r="Q373" i="135" s="1"/>
  <c r="W373" i="135" s="1"/>
  <c r="O319" i="135"/>
  <c r="Q319" i="135" s="1"/>
  <c r="W319" i="135" s="1"/>
  <c r="O271" i="135"/>
  <c r="Q271" i="135" s="1"/>
  <c r="W271" i="135" s="1"/>
  <c r="O229" i="135"/>
  <c r="Q229" i="135" s="1"/>
  <c r="W229" i="135" s="1"/>
  <c r="O190" i="135"/>
  <c r="Q190" i="135" s="1"/>
  <c r="O398" i="135"/>
  <c r="Q398" i="135" s="1"/>
  <c r="W398" i="135" s="1"/>
  <c r="O334" i="135"/>
  <c r="Q334" i="135" s="1"/>
  <c r="W334" i="135" s="1"/>
  <c r="O269" i="135"/>
  <c r="Q269" i="135" s="1"/>
  <c r="W269" i="135" s="1"/>
  <c r="O212" i="135"/>
  <c r="Q212" i="135" s="1"/>
  <c r="W212" i="135" s="1"/>
  <c r="O433" i="135"/>
  <c r="Q433" i="135" s="1"/>
  <c r="W433" i="135" s="1"/>
  <c r="O393" i="135"/>
  <c r="Q393" i="135" s="1"/>
  <c r="W393" i="135" s="1"/>
  <c r="O332" i="135"/>
  <c r="Q332" i="135" s="1"/>
  <c r="W332" i="135" s="1"/>
  <c r="O253" i="135"/>
  <c r="Q253" i="135" s="1"/>
  <c r="W253" i="135" s="1"/>
  <c r="O187" i="135"/>
  <c r="Q187" i="135" s="1"/>
  <c r="W187" i="135" s="1"/>
  <c r="O362" i="135"/>
  <c r="Q362" i="135" s="1"/>
  <c r="W362" i="135" s="1"/>
  <c r="O242" i="135"/>
  <c r="Q242" i="135" s="1"/>
  <c r="O400" i="135"/>
  <c r="Q400" i="135" s="1"/>
  <c r="W400" i="135" s="1"/>
  <c r="O287" i="135"/>
  <c r="Q287" i="135" s="1"/>
  <c r="W287" i="135" s="1"/>
  <c r="O144" i="135"/>
  <c r="Q144" i="135" s="1"/>
  <c r="W144" i="135" s="1"/>
  <c r="O106" i="135"/>
  <c r="Q106" i="135" s="1"/>
  <c r="W106" i="135" s="1"/>
  <c r="O62" i="135"/>
  <c r="Q62" i="135" s="1"/>
  <c r="W62" i="135" s="1"/>
  <c r="O20" i="135"/>
  <c r="Q20" i="135" s="1"/>
  <c r="W20" i="135" s="1"/>
  <c r="O289" i="135"/>
  <c r="Q289" i="135" s="1"/>
  <c r="W289" i="135" s="1"/>
  <c r="O183" i="135"/>
  <c r="Q183" i="135" s="1"/>
  <c r="W183" i="135" s="1"/>
  <c r="O136" i="135"/>
  <c r="Q136" i="135" s="1"/>
  <c r="W136" i="135" s="1"/>
  <c r="O90" i="135"/>
  <c r="Q90" i="135" s="1"/>
  <c r="O39" i="135"/>
  <c r="Q39" i="135" s="1"/>
  <c r="W39" i="135" s="1"/>
  <c r="O355" i="135"/>
  <c r="Q355" i="135" s="1"/>
  <c r="W355" i="135" s="1"/>
  <c r="O95" i="135"/>
  <c r="Q95" i="135" s="1"/>
  <c r="W95" i="135" s="1"/>
  <c r="O143" i="135"/>
  <c r="Q143" i="135" s="1"/>
  <c r="W143" i="135" s="1"/>
  <c r="O19" i="135"/>
  <c r="Q19" i="135" s="1"/>
  <c r="W19" i="135" s="1"/>
  <c r="O108" i="135"/>
  <c r="Q108" i="135" s="1"/>
  <c r="W108" i="135" s="1"/>
  <c r="O250" i="135"/>
  <c r="Q250" i="135" s="1"/>
  <c r="W250" i="135" s="1"/>
  <c r="O78" i="135"/>
  <c r="Q78" i="135" s="1"/>
  <c r="W78" i="135" s="1"/>
  <c r="K26" i="132"/>
  <c r="K28" i="132" s="1"/>
  <c r="O146" i="135"/>
  <c r="Q146" i="135" s="1"/>
  <c r="W146" i="135" s="1"/>
  <c r="O134" i="135"/>
  <c r="Q134" i="135" s="1"/>
  <c r="W134" i="135" s="1"/>
  <c r="O353" i="135"/>
  <c r="Q353" i="135" s="1"/>
  <c r="O403" i="135"/>
  <c r="Q403" i="135" s="1"/>
  <c r="W403" i="135" s="1"/>
  <c r="O339" i="135"/>
  <c r="Q339" i="135" s="1"/>
  <c r="O258" i="135"/>
  <c r="Q258" i="135" s="1"/>
  <c r="W258" i="135" s="1"/>
  <c r="O176" i="135"/>
  <c r="Q176" i="135" s="1"/>
  <c r="W176" i="135" s="1"/>
  <c r="O304" i="135"/>
  <c r="Q304" i="135" s="1"/>
  <c r="W304" i="135" s="1"/>
  <c r="O191" i="135"/>
  <c r="Q191" i="135" s="1"/>
  <c r="W191" i="135" s="1"/>
  <c r="O371" i="135"/>
  <c r="Q371" i="135" s="1"/>
  <c r="W371" i="135" s="1"/>
  <c r="O177" i="135"/>
  <c r="Q177" i="135" s="1"/>
  <c r="W177" i="135" s="1"/>
  <c r="O193" i="135"/>
  <c r="Q193" i="135" s="1"/>
  <c r="W193" i="135" s="1"/>
  <c r="O247" i="135"/>
  <c r="Q247" i="135" s="1"/>
  <c r="W247" i="135" s="1"/>
  <c r="O93" i="135"/>
  <c r="Q93" i="135" s="1"/>
  <c r="W93" i="135" s="1"/>
  <c r="O429" i="135"/>
  <c r="Q429" i="135" s="1"/>
  <c r="W429" i="135" s="1"/>
  <c r="O158" i="135"/>
  <c r="Q158" i="135" s="1"/>
  <c r="W158" i="135" s="1"/>
  <c r="O67" i="135"/>
  <c r="Q67" i="135" s="1"/>
  <c r="W67" i="135" s="1"/>
  <c r="O180" i="135"/>
  <c r="Q180" i="135" s="1"/>
  <c r="W180" i="135" s="1"/>
  <c r="O73" i="135"/>
  <c r="Q73" i="135" s="1"/>
  <c r="O59" i="135"/>
  <c r="Q59" i="135" s="1"/>
  <c r="W59" i="135" s="1"/>
  <c r="O33" i="135"/>
  <c r="Q33" i="135" s="1"/>
  <c r="O11" i="135"/>
  <c r="Q11" i="135" s="1"/>
  <c r="W11" i="135" s="1"/>
  <c r="O344" i="135"/>
  <c r="Q344" i="135" s="1"/>
  <c r="W344" i="135" s="1"/>
  <c r="O408" i="135"/>
  <c r="Q408" i="135" s="1"/>
  <c r="W408" i="135" s="1"/>
  <c r="O399" i="135"/>
  <c r="Q399" i="135" s="1"/>
  <c r="W399" i="135" s="1"/>
  <c r="O215" i="135"/>
  <c r="Q215" i="135" s="1"/>
  <c r="W215" i="135" s="1"/>
  <c r="O228" i="135"/>
  <c r="Q228" i="135" s="1"/>
  <c r="O291" i="135"/>
  <c r="Q291" i="135" s="1"/>
  <c r="W291" i="135" s="1"/>
  <c r="O192" i="135"/>
  <c r="Q192" i="135" s="1"/>
  <c r="W192" i="135" s="1"/>
  <c r="O79" i="135"/>
  <c r="Q79" i="135" s="1"/>
  <c r="W79" i="135" s="1"/>
  <c r="O154" i="135"/>
  <c r="Q154" i="135" s="1"/>
  <c r="W154" i="135" s="1"/>
  <c r="O130" i="135"/>
  <c r="Q130" i="135" s="1"/>
  <c r="W130" i="135" s="1"/>
  <c r="O56" i="135"/>
  <c r="Q56" i="135" s="1"/>
  <c r="W56" i="135" s="1"/>
  <c r="O281" i="135"/>
  <c r="Q281" i="135" s="1"/>
  <c r="W281" i="135" s="1"/>
  <c r="O298" i="135"/>
  <c r="Q298" i="135" s="1"/>
  <c r="W298" i="135" s="1"/>
  <c r="O396" i="135"/>
  <c r="Q396" i="135" s="1"/>
  <c r="W396" i="135" s="1"/>
  <c r="O336" i="135"/>
  <c r="Q336" i="135" s="1"/>
  <c r="W336" i="135" s="1"/>
  <c r="O172" i="135"/>
  <c r="Q172" i="135" s="1"/>
  <c r="W172" i="135" s="1"/>
  <c r="O454" i="135"/>
  <c r="Q454" i="135" s="1"/>
  <c r="W454" i="135" s="1"/>
  <c r="O219" i="135"/>
  <c r="Q219" i="135" s="1"/>
  <c r="W219" i="135" s="1"/>
  <c r="O325" i="135"/>
  <c r="Q325" i="135" s="1"/>
  <c r="W325" i="135" s="1"/>
  <c r="O34" i="135"/>
  <c r="Q34" i="135" s="1"/>
  <c r="W34" i="135" s="1"/>
  <c r="O107" i="135"/>
  <c r="Q107" i="135" s="1"/>
  <c r="W107" i="135" s="1"/>
  <c r="O37" i="135"/>
  <c r="Q37" i="135" s="1"/>
  <c r="W37" i="135" s="1"/>
  <c r="O155" i="135"/>
  <c r="Q155" i="135" s="1"/>
  <c r="W155" i="135" s="1"/>
  <c r="O104" i="135"/>
  <c r="Q104" i="135" s="1"/>
  <c r="W104" i="135" s="1"/>
  <c r="O293" i="135"/>
  <c r="Q293" i="135" s="1"/>
  <c r="W293" i="135" s="1"/>
  <c r="O345" i="135"/>
  <c r="Q345" i="135" s="1"/>
  <c r="W345" i="135" s="1"/>
  <c r="O402" i="135"/>
  <c r="Q402" i="135" s="1"/>
  <c r="W402" i="135" s="1"/>
  <c r="O174" i="135"/>
  <c r="Q174" i="135" s="1"/>
  <c r="W174" i="135" s="1"/>
  <c r="O197" i="135"/>
  <c r="Q197" i="135" s="1"/>
  <c r="W197" i="135" s="1"/>
  <c r="O428" i="135"/>
  <c r="Q428" i="135" s="1"/>
  <c r="O63" i="135"/>
  <c r="Q63" i="135" s="1"/>
  <c r="W63" i="135" s="1"/>
  <c r="O69" i="135"/>
  <c r="Q69" i="135" s="1"/>
  <c r="W69" i="135" s="1"/>
  <c r="O28" i="135"/>
  <c r="Q28" i="135" s="1"/>
  <c r="W28" i="135" s="1"/>
  <c r="O453" i="135"/>
  <c r="Q453" i="135" s="1"/>
  <c r="W453" i="135" s="1"/>
  <c r="O443" i="135"/>
  <c r="Q443" i="135" s="1"/>
  <c r="W443" i="135" s="1"/>
  <c r="O254" i="135"/>
  <c r="Q254" i="135" s="1"/>
  <c r="W254" i="135" s="1"/>
  <c r="O369" i="135"/>
  <c r="Q369" i="135" s="1"/>
  <c r="W369" i="135" s="1"/>
  <c r="O305" i="135"/>
  <c r="Q305" i="135" s="1"/>
  <c r="W305" i="135" s="1"/>
  <c r="O131" i="135"/>
  <c r="Q131" i="135" s="1"/>
  <c r="W131" i="135" s="1"/>
  <c r="O230" i="135"/>
  <c r="Q230" i="135" s="1"/>
  <c r="W230" i="135" s="1"/>
  <c r="O22" i="135"/>
  <c r="Q22" i="135" s="1"/>
  <c r="W22" i="135" s="1"/>
  <c r="O231" i="135"/>
  <c r="Q231" i="135" s="1"/>
  <c r="W231" i="135" s="1"/>
  <c r="O294" i="135"/>
  <c r="Q294" i="135" s="1"/>
  <c r="W294" i="135" s="1"/>
  <c r="W167" i="135" l="1"/>
  <c r="W188" i="135" s="1"/>
  <c r="Q188" i="135"/>
  <c r="Q226" i="135"/>
  <c r="W205" i="135"/>
  <c r="W226" i="135" s="1"/>
  <c r="Q309" i="135"/>
  <c r="W302" i="135"/>
  <c r="W309" i="135" s="1"/>
  <c r="Q31" i="135"/>
  <c r="W10" i="135"/>
  <c r="W31" i="135" s="1"/>
  <c r="Q272" i="135"/>
  <c r="W265" i="135"/>
  <c r="W272" i="135" s="1"/>
  <c r="W190" i="135"/>
  <c r="W198" i="135" s="1"/>
  <c r="Q198" i="135"/>
  <c r="Q382" i="135"/>
  <c r="W376" i="135"/>
  <c r="W382" i="135" s="1"/>
  <c r="W113" i="135"/>
  <c r="W121" i="135" s="1"/>
  <c r="Q121" i="135"/>
  <c r="W389" i="135"/>
  <c r="W410" i="135" s="1"/>
  <c r="Q410" i="135"/>
  <c r="Q449" i="135"/>
  <c r="W428" i="135"/>
  <c r="W449" i="135" s="1"/>
  <c r="S421" i="135"/>
  <c r="U421" i="135" s="1"/>
  <c r="W421" i="135" s="1"/>
  <c r="S460" i="135"/>
  <c r="U460" i="135" s="1"/>
  <c r="W460" i="135" s="1"/>
  <c r="S311" i="135"/>
  <c r="S84" i="135"/>
  <c r="U84" i="135" s="1"/>
  <c r="W84" i="135" s="1"/>
  <c r="S45" i="135"/>
  <c r="U45" i="135" s="1"/>
  <c r="W45" i="135" s="1"/>
  <c r="S384" i="135"/>
  <c r="U384" i="135" s="1"/>
  <c r="S423" i="135"/>
  <c r="U423" i="135" s="1"/>
  <c r="W423" i="135" s="1"/>
  <c r="S44" i="135"/>
  <c r="U44" i="135" s="1"/>
  <c r="W44" i="135" s="1"/>
  <c r="S43" i="135"/>
  <c r="U43" i="135" s="1"/>
  <c r="S200" i="135"/>
  <c r="U200" i="135" s="1"/>
  <c r="S124" i="135"/>
  <c r="U124" i="135" s="1"/>
  <c r="W124" i="135" s="1"/>
  <c r="S123" i="135"/>
  <c r="U123" i="135" s="1"/>
  <c r="S461" i="135"/>
  <c r="U461" i="135" s="1"/>
  <c r="W461" i="135" s="1"/>
  <c r="S274" i="135"/>
  <c r="U274" i="135" s="1"/>
  <c r="S459" i="135"/>
  <c r="U459" i="135" s="1"/>
  <c r="S422" i="135"/>
  <c r="U422" i="135" s="1"/>
  <c r="W422" i="135" s="1"/>
  <c r="S162" i="135"/>
  <c r="U162" i="135" s="1"/>
  <c r="S237" i="135"/>
  <c r="U237" i="135" s="1"/>
  <c r="S348" i="135"/>
  <c r="U348" i="135" s="1"/>
  <c r="S420" i="135"/>
  <c r="U420" i="135" s="1"/>
  <c r="S462" i="135"/>
  <c r="U462" i="135" s="1"/>
  <c r="W462" i="135" s="1"/>
  <c r="S85" i="135"/>
  <c r="U85" i="135" s="1"/>
  <c r="W85" i="135" s="1"/>
  <c r="S83" i="135"/>
  <c r="U83" i="135" s="1"/>
  <c r="Q71" i="135"/>
  <c r="W50" i="135"/>
  <c r="W71" i="135" s="1"/>
  <c r="Q337" i="135"/>
  <c r="W316" i="135"/>
  <c r="W337" i="135" s="1"/>
  <c r="Q235" i="135"/>
  <c r="W228" i="135"/>
  <c r="W235" i="135" s="1"/>
  <c r="W73" i="135"/>
  <c r="W81" i="135" s="1"/>
  <c r="Q81" i="135"/>
  <c r="Q374" i="135"/>
  <c r="W353" i="135"/>
  <c r="W374" i="135" s="1"/>
  <c r="Q111" i="135"/>
  <c r="W90" i="135"/>
  <c r="W111" i="135" s="1"/>
  <c r="W129" i="135"/>
  <c r="W150" i="135" s="1"/>
  <c r="Q150" i="135"/>
  <c r="Q41" i="135"/>
  <c r="W33" i="135"/>
  <c r="W41" i="135" s="1"/>
  <c r="W339" i="135"/>
  <c r="W346" i="135" s="1"/>
  <c r="Q346" i="135"/>
  <c r="W242" i="135"/>
  <c r="W263" i="135" s="1"/>
  <c r="Q263" i="135"/>
  <c r="Q457" i="135"/>
  <c r="W451" i="135"/>
  <c r="W457" i="135" s="1"/>
  <c r="W152" i="135"/>
  <c r="W160" i="135" s="1"/>
  <c r="Q160" i="135"/>
  <c r="W412" i="135"/>
  <c r="W418" i="135" s="1"/>
  <c r="Q418" i="135"/>
  <c r="W279" i="135"/>
  <c r="W300" i="135" s="1"/>
  <c r="Q300" i="135"/>
  <c r="Q466" i="135" l="1"/>
  <c r="U238" i="135"/>
  <c r="W237" i="135"/>
  <c r="W238" i="135" s="1"/>
  <c r="U201" i="135"/>
  <c r="W200" i="135"/>
  <c r="W201" i="135" s="1"/>
  <c r="W43" i="135"/>
  <c r="W46" i="135" s="1"/>
  <c r="U46" i="135"/>
  <c r="W420" i="135"/>
  <c r="W424" i="135" s="1"/>
  <c r="U424" i="135"/>
  <c r="U125" i="135"/>
  <c r="W123" i="135"/>
  <c r="W125" i="135" s="1"/>
  <c r="W465" i="135"/>
  <c r="W274" i="135"/>
  <c r="W275" i="135" s="1"/>
  <c r="U275" i="135"/>
  <c r="U385" i="135"/>
  <c r="W384" i="135"/>
  <c r="W385" i="135" s="1"/>
  <c r="U163" i="135"/>
  <c r="W162" i="135"/>
  <c r="W163" i="135" s="1"/>
  <c r="W466" i="135"/>
  <c r="W83" i="135"/>
  <c r="W86" i="135" s="1"/>
  <c r="U86" i="135"/>
  <c r="W348" i="135"/>
  <c r="W349" i="135" s="1"/>
  <c r="U349" i="135"/>
  <c r="W459" i="135"/>
  <c r="W463" i="135" s="1"/>
  <c r="U463" i="135"/>
  <c r="U311" i="135"/>
  <c r="U312" i="135" s="1"/>
  <c r="Q465" i="135"/>
  <c r="W311" i="135" l="1"/>
  <c r="W312" i="135" s="1"/>
  <c r="W467" i="135" s="1"/>
  <c r="W468" i="135" s="1"/>
  <c r="Q468" i="135"/>
  <c r="G12" i="130" s="1"/>
  <c r="G14" i="130" s="1"/>
  <c r="G37" i="130" s="1"/>
  <c r="U467" i="135"/>
  <c r="E12" i="130" l="1"/>
  <c r="I13" i="130"/>
  <c r="U468" i="135"/>
  <c r="E13" i="130" l="1"/>
  <c r="E14" i="130" s="1"/>
  <c r="E37" i="130" s="1"/>
  <c r="I14" i="130"/>
  <c r="I37" i="130" s="1"/>
</calcChain>
</file>

<file path=xl/comments1.xml><?xml version="1.0" encoding="utf-8"?>
<comments xmlns="http://schemas.openxmlformats.org/spreadsheetml/2006/main">
  <authors>
    <author>TransCanada</author>
  </authors>
  <commentList>
    <comment ref="N10" authorId="0">
      <text>
        <r>
          <rPr>
            <b/>
            <sz val="8"/>
            <color indexed="81"/>
            <rFont val="Tahoma"/>
            <family val="2"/>
          </rPr>
          <t>TransCanada:</t>
        </r>
        <r>
          <rPr>
            <sz val="8"/>
            <color indexed="81"/>
            <rFont val="Tahoma"/>
            <family val="2"/>
          </rPr>
          <t xml:space="preserve">
Open to determine if this should be included here because it is not the adjustment of the additional costs.</t>
        </r>
      </text>
    </comment>
  </commentList>
</comments>
</file>

<file path=xl/comments2.xml><?xml version="1.0" encoding="utf-8"?>
<comments xmlns="http://schemas.openxmlformats.org/spreadsheetml/2006/main">
  <authors>
    <author>TransCanada</author>
  </authors>
  <commentList>
    <comment ref="C7" authorId="0">
      <text>
        <r>
          <rPr>
            <b/>
            <sz val="8"/>
            <color indexed="81"/>
            <rFont val="Tahoma"/>
            <family val="2"/>
          </rPr>
          <t>TransCanada:</t>
        </r>
        <r>
          <rPr>
            <sz val="8"/>
            <color indexed="81"/>
            <rFont val="Tahoma"/>
            <family val="2"/>
          </rPr>
          <t xml:space="preserve">
Account 41040</t>
        </r>
      </text>
    </comment>
  </commentList>
</comments>
</file>

<file path=xl/sharedStrings.xml><?xml version="1.0" encoding="utf-8"?>
<sst xmlns="http://schemas.openxmlformats.org/spreadsheetml/2006/main" count="6492" uniqueCount="1089">
  <si>
    <r>
      <t xml:space="preserve">Estimated Tuscarora Net Income Before Taxes </t>
    </r>
    <r>
      <rPr>
        <sz val="10"/>
        <color indexed="10"/>
        <rFont val="Arial"/>
        <family val="2"/>
      </rPr>
      <t>May - August 2011</t>
    </r>
  </si>
  <si>
    <t>Less: NIBT as of April</t>
  </si>
  <si>
    <t>Estimated NIBT as of August 31, 2011</t>
  </si>
  <si>
    <t>NIBT for the period May-August 2011</t>
  </si>
  <si>
    <t>[A]</t>
  </si>
  <si>
    <t>Income Tax Expense</t>
  </si>
  <si>
    <t xml:space="preserve">April 30, 2011 Equity has an income tax expense of about </t>
  </si>
  <si>
    <t>[B]</t>
  </si>
  <si>
    <t>Net Income-May to August 2011</t>
  </si>
  <si>
    <t>Contribution in Aid of Construction - Non-Utility</t>
  </si>
  <si>
    <t>AFUDC Equity</t>
  </si>
  <si>
    <t>No Adjustment to Other Taxes</t>
  </si>
  <si>
    <t>State of California</t>
  </si>
  <si>
    <t>State of Nevada</t>
  </si>
  <si>
    <t xml:space="preserve">     California</t>
  </si>
  <si>
    <t xml:space="preserve">     Nevada</t>
  </si>
  <si>
    <t>Total Costs</t>
  </si>
  <si>
    <t>FAS 106</t>
  </si>
  <si>
    <t>Costs</t>
  </si>
  <si>
    <t>Acct 182.3</t>
  </si>
  <si>
    <t>Statement H-3</t>
  </si>
  <si>
    <t>Schedule H-3(1)</t>
  </si>
  <si>
    <t>Schedule H-3(2)</t>
  </si>
  <si>
    <t xml:space="preserve">Reconciliation of Net Book Plant and Net Tax Plant </t>
  </si>
  <si>
    <t>As of date</t>
  </si>
  <si>
    <t>Depreciation Related to AFUDC on Equity</t>
  </si>
  <si>
    <t>Statement H-4</t>
  </si>
  <si>
    <t>Summary of Other Taxes By Function</t>
  </si>
  <si>
    <t>Type of Tax</t>
  </si>
  <si>
    <t>Schedule H-2(1)</t>
  </si>
  <si>
    <t>Reconciliation of Depreciable Plant to Total Gas Plant</t>
  </si>
  <si>
    <t>Less:</t>
  </si>
  <si>
    <t>Total Gas Plant Per Statement C</t>
  </si>
  <si>
    <t>Gas Plant in Service (Acct. No. 101 and 106)</t>
  </si>
  <si>
    <t>Construction Work in Progress (Acct. No.107)</t>
  </si>
  <si>
    <t>Gas Plant Held for Future Use (Acct. No. 105)</t>
  </si>
  <si>
    <t>Statement F-2</t>
  </si>
  <si>
    <t>Capitalization and Cost of Capital</t>
  </si>
  <si>
    <t>Per Books</t>
  </si>
  <si>
    <t>as Adjusted</t>
  </si>
  <si>
    <t>Capitalization</t>
  </si>
  <si>
    <t>Percentage</t>
  </si>
  <si>
    <t>%</t>
  </si>
  <si>
    <t>Cost of</t>
  </si>
  <si>
    <t>Capital</t>
  </si>
  <si>
    <t>Weighted</t>
  </si>
  <si>
    <t>Cost</t>
  </si>
  <si>
    <t>Dth</t>
  </si>
  <si>
    <t>State of Oregon</t>
  </si>
  <si>
    <t>Total Other Taxes</t>
  </si>
  <si>
    <t>Schedule H-4</t>
  </si>
  <si>
    <t>Adjustment to Other Taxes - Payroll and Miscellaneous Taxes</t>
  </si>
  <si>
    <t>FICA Tax Adjustment</t>
  </si>
  <si>
    <t>Base Period FICA Expense Per Books</t>
  </si>
  <si>
    <t>Scheduling and Nomination services provided for BC Systems</t>
  </si>
  <si>
    <t>Test Period Adjustment</t>
  </si>
  <si>
    <t>Federal and State Unemployment Tax Adjustment</t>
  </si>
  <si>
    <t>Base Period FUTA and SUTA Expense Per Books</t>
  </si>
  <si>
    <t>Depreciation</t>
  </si>
  <si>
    <t>Depreciation, Depletion, Amortization</t>
  </si>
  <si>
    <t>and Negative Salvage Expense</t>
  </si>
  <si>
    <t>A/C No.</t>
  </si>
  <si>
    <t>Particulars</t>
  </si>
  <si>
    <t>Method</t>
  </si>
  <si>
    <t>Net Depreciable</t>
  </si>
  <si>
    <t>Plant at</t>
  </si>
  <si>
    <t>Per Book</t>
  </si>
  <si>
    <t>Page 1 of 1</t>
  </si>
  <si>
    <t>Gas Stored Underground</t>
  </si>
  <si>
    <t>Taxable Portion of Return</t>
  </si>
  <si>
    <t>Adjustments for Tax Purposes</t>
  </si>
  <si>
    <t>Total Tax Adjustments</t>
  </si>
  <si>
    <t>Income Taxes</t>
  </si>
  <si>
    <t>Taxable Base</t>
  </si>
  <si>
    <t>Federal and State Income Taxes</t>
  </si>
  <si>
    <t>Mainline</t>
  </si>
  <si>
    <t>Adjustment Period Activity</t>
  </si>
  <si>
    <t>Ctr Sift A…..I</t>
  </si>
  <si>
    <t>Go to the first sheet in the section you want.</t>
  </si>
  <si>
    <t>Select all sheets - To print, use the printer icon.</t>
  </si>
  <si>
    <t>Ctr y</t>
  </si>
  <si>
    <t>Deselect all sheets and go to Title Input and Macros sheet</t>
  </si>
  <si>
    <t>Operations &amp; Maintenance Expense</t>
  </si>
  <si>
    <t>Return Allowance</t>
  </si>
  <si>
    <t>Depreciation and Amortization Expense</t>
  </si>
  <si>
    <t>Gas Utility Plant:</t>
  </si>
  <si>
    <t>Allocation of Intangible Plant</t>
  </si>
  <si>
    <t>Total Plant In Service</t>
  </si>
  <si>
    <t>Rate Base and Return Summary</t>
  </si>
  <si>
    <t>Less - Accumulated Provision for Depreciation, Depletion and Amortization:</t>
  </si>
  <si>
    <t>Net Gas Plant</t>
  </si>
  <si>
    <t>C-1/I-1(d)</t>
  </si>
  <si>
    <t>D/I1(d)</t>
  </si>
  <si>
    <t>Book Balance</t>
  </si>
  <si>
    <t>Prior Year</t>
  </si>
  <si>
    <t>and Depreciation Rates Not Yet Approved by FERC</t>
  </si>
  <si>
    <t>Schedule D-1</t>
  </si>
  <si>
    <t>Adjustment eliminates the cost of shipper gas used for compressor fuel.  An offsetting credit is recorded in FERC Account 810</t>
  </si>
  <si>
    <t>Summary of Book Depreciation Rates and Proposed Rate Changes:</t>
  </si>
  <si>
    <t>Depreciable Category</t>
  </si>
  <si>
    <t>Transmission Plant</t>
  </si>
  <si>
    <t>Negative Salvage</t>
  </si>
  <si>
    <t>Schedule D-2</t>
  </si>
  <si>
    <t>Methods and Procedures Followed in</t>
  </si>
  <si>
    <t>Depreciating, Depleting or Amortizing Plant</t>
  </si>
  <si>
    <t>Statement E</t>
  </si>
  <si>
    <t>Ref</t>
  </si>
  <si>
    <t>E-2</t>
  </si>
  <si>
    <t>Materials and Supplies</t>
  </si>
  <si>
    <t>Prepayments</t>
  </si>
  <si>
    <t>Total Working Capital</t>
  </si>
  <si>
    <t>Schedule E-1</t>
  </si>
  <si>
    <t>Cash Working Capital Computation</t>
  </si>
  <si>
    <t>Schedule E-2</t>
  </si>
  <si>
    <t>Materials and Supplies and Prepayments</t>
  </si>
  <si>
    <t>Materials</t>
  </si>
  <si>
    <t>and Supplies</t>
  </si>
  <si>
    <t>February</t>
  </si>
  <si>
    <t>March</t>
  </si>
  <si>
    <t>April</t>
  </si>
  <si>
    <t>June</t>
  </si>
  <si>
    <t>July</t>
  </si>
  <si>
    <t>August</t>
  </si>
  <si>
    <t>September</t>
  </si>
  <si>
    <t>November</t>
  </si>
  <si>
    <t>Date 13 mos Sched E</t>
  </si>
  <si>
    <t>Months 1</t>
  </si>
  <si>
    <t>Total, As Adjusted</t>
  </si>
  <si>
    <t>Schedule E-3</t>
  </si>
  <si>
    <t>Gas Stored Underground for Resale</t>
  </si>
  <si>
    <t>Advertising Expenses ( Account No. 913 and 930.1)</t>
  </si>
  <si>
    <t>Schedule H-1(2)(i)</t>
  </si>
  <si>
    <t>Total Leases</t>
  </si>
  <si>
    <t>Statement F-1</t>
  </si>
  <si>
    <t>Statement of Rate of Return Claimed</t>
  </si>
  <si>
    <t>Operation</t>
  </si>
  <si>
    <t>Maintenance</t>
  </si>
  <si>
    <t>Adjustments - Labor</t>
  </si>
  <si>
    <t>Total Transmission Expenses</t>
  </si>
  <si>
    <t>Administrative and General Expenses</t>
  </si>
  <si>
    <t>Uncollectible Accounts</t>
  </si>
  <si>
    <t>Administrative and General Salaries</t>
  </si>
  <si>
    <t>Office Supplies and Expenses</t>
  </si>
  <si>
    <t>Administrative Exp. Transferred-Cr.</t>
  </si>
  <si>
    <t>Outside Services Employed</t>
  </si>
  <si>
    <t>Property Insurance</t>
  </si>
  <si>
    <t>Injuries and Damages</t>
  </si>
  <si>
    <t>Employee Pensions and Benefits</t>
  </si>
  <si>
    <t>Regulatory Commission Expenses</t>
  </si>
  <si>
    <t>Miscellaneous General Expenses</t>
  </si>
  <si>
    <t>Rents</t>
  </si>
  <si>
    <t>Total Administrative and General Expenses</t>
  </si>
  <si>
    <t>Compressor Sta. Labor and Expenses</t>
  </si>
  <si>
    <t>Gas for Compressor Station Fuel</t>
  </si>
  <si>
    <t>Other Fuel and Power/Compress. Sta.</t>
  </si>
  <si>
    <t>Mains Expenses</t>
  </si>
  <si>
    <t>Measuring and Reg. sta. Expenses</t>
  </si>
  <si>
    <t>Trans. and Compress. of Gas by Others</t>
  </si>
  <si>
    <t>Other Expenses</t>
  </si>
  <si>
    <t>Revenue Credits</t>
  </si>
  <si>
    <t>Other Revenues</t>
  </si>
  <si>
    <t>Depreciable Plant</t>
  </si>
  <si>
    <t>Operation Supervision and Engineering</t>
  </si>
  <si>
    <t>System Control and Load Dispatching</t>
  </si>
  <si>
    <t>Communication System Expenses</t>
  </si>
  <si>
    <t>Maint. of Communication Equlpment</t>
  </si>
  <si>
    <t>Operation and Maintenance Expenses</t>
  </si>
  <si>
    <t>Material and Other Expenses Exclusive of Gas Costs</t>
  </si>
  <si>
    <t>Schedule H-1(1)(b)</t>
  </si>
  <si>
    <t>Schedule H-1(1)(c)</t>
  </si>
  <si>
    <t>Expenses Applicable to Accounts 810, 811, and 812</t>
  </si>
  <si>
    <t>Other Gas Supply Expenses</t>
  </si>
  <si>
    <t>Gas used for Compressor Sta. Fuel-Cr</t>
  </si>
  <si>
    <t>Total Other Gas Supply Expenses</t>
  </si>
  <si>
    <t>Statement</t>
  </si>
  <si>
    <t>Service</t>
  </si>
  <si>
    <t>Total Cost of Service</t>
  </si>
  <si>
    <t>This workbook is privileged and confidential, prepared in anticipation of litigation</t>
  </si>
  <si>
    <t>Difference Between Present Book Depreciation Rates</t>
  </si>
  <si>
    <t>For the purposes of this filing, the company is not including an allowance for cash working capital.</t>
  </si>
  <si>
    <t>Other Revenue</t>
  </si>
  <si>
    <t>Transmission Expenses</t>
  </si>
  <si>
    <t>Measuring and Reg. Sta. Expenses</t>
  </si>
  <si>
    <t>Maint. Supervision and Engineering</t>
  </si>
  <si>
    <t>Maint. of Structures and Improvements</t>
  </si>
  <si>
    <t>Maint. of Mains</t>
  </si>
  <si>
    <t>Maint. of Compressor Station Equip.</t>
  </si>
  <si>
    <t>Maint. of Mess. and Reg. Sta. Equip.</t>
  </si>
  <si>
    <t>Maint. of Other Equipment</t>
  </si>
  <si>
    <t>Maint. of Communication Equipment</t>
  </si>
  <si>
    <t>Dths Applicable to Accounts 810, 811, and 812</t>
  </si>
  <si>
    <t>Cost of Service by Zone</t>
  </si>
  <si>
    <t>Schedule I-1(c)</t>
  </si>
  <si>
    <t>B-2</t>
  </si>
  <si>
    <t>Macros</t>
  </si>
  <si>
    <t>Overall Cost of Service</t>
  </si>
  <si>
    <t>Rate Base</t>
  </si>
  <si>
    <t>Schedule B-1</t>
  </si>
  <si>
    <t>Summary of Accumulated Deferred Income Taxes</t>
  </si>
  <si>
    <t>Account No. 190</t>
  </si>
  <si>
    <t>Monthly Balances</t>
  </si>
  <si>
    <t>Account No. 282</t>
  </si>
  <si>
    <t>Account No. 283</t>
  </si>
  <si>
    <t>Balance</t>
  </si>
  <si>
    <t>Account</t>
  </si>
  <si>
    <t>Base Period</t>
  </si>
  <si>
    <t>Adjustment</t>
  </si>
  <si>
    <t>Total 282</t>
  </si>
  <si>
    <t>Total 190</t>
  </si>
  <si>
    <t>Total 283</t>
  </si>
  <si>
    <t>Total Deferred Income Taxes</t>
  </si>
  <si>
    <t>Schedule B-2</t>
  </si>
  <si>
    <t>Page 1 of 2</t>
  </si>
  <si>
    <t>Utility</t>
  </si>
  <si>
    <t>Non-Utility</t>
  </si>
  <si>
    <t>Corporate</t>
  </si>
  <si>
    <t>File Name:</t>
  </si>
  <si>
    <t>File Path:</t>
  </si>
  <si>
    <t>Instructions:</t>
  </si>
  <si>
    <t>Each worksheet tab is color coded to indicate the source of the information.</t>
  </si>
  <si>
    <t>Tab -</t>
  </si>
  <si>
    <t>Green</t>
  </si>
  <si>
    <t>Red</t>
  </si>
  <si>
    <t>Blue</t>
  </si>
  <si>
    <t>Yellow</t>
  </si>
  <si>
    <t>ONLY contains formulas pulling information from other tabs within this workbook</t>
  </si>
  <si>
    <t>Manual input required</t>
  </si>
  <si>
    <t xml:space="preserve">Information within a tab - </t>
  </si>
  <si>
    <t>Black</t>
  </si>
  <si>
    <t>Hard coded numbers entered from supporting documents</t>
  </si>
  <si>
    <t>Copied from previous year or prior year balance.</t>
  </si>
  <si>
    <t>Numbers determined by a formula</t>
  </si>
  <si>
    <t>Relocation</t>
  </si>
  <si>
    <t>Pension</t>
  </si>
  <si>
    <t>Funding</t>
  </si>
  <si>
    <t>Caminus</t>
  </si>
  <si>
    <t>Y2K</t>
  </si>
  <si>
    <t>Co Name</t>
  </si>
  <si>
    <t>RP</t>
  </si>
  <si>
    <t>Input column</t>
  </si>
  <si>
    <t>Date</t>
  </si>
  <si>
    <t>Date Adj</t>
  </si>
  <si>
    <t>Statement D</t>
  </si>
  <si>
    <t>Book Balance at</t>
  </si>
  <si>
    <t>Total Account 108.1</t>
  </si>
  <si>
    <t>Total Account 108 &amp; 108.1</t>
  </si>
  <si>
    <t>Total Account 108</t>
  </si>
  <si>
    <t>Account 108.1 Retirement Work in Progress</t>
  </si>
  <si>
    <t xml:space="preserve"> Total Account 111</t>
  </si>
  <si>
    <t>Remediation</t>
  </si>
  <si>
    <t>(k)</t>
  </si>
  <si>
    <t>Page 2 of 2</t>
  </si>
  <si>
    <t>Linepack</t>
  </si>
  <si>
    <t>Fuel</t>
  </si>
  <si>
    <t>(l)</t>
  </si>
  <si>
    <t>Gas Plant by Account</t>
  </si>
  <si>
    <t>Project</t>
  </si>
  <si>
    <t>Number</t>
  </si>
  <si>
    <t>Estimated</t>
  </si>
  <si>
    <t>In-Service</t>
  </si>
  <si>
    <t>Account 107</t>
  </si>
  <si>
    <t>Estimate</t>
  </si>
  <si>
    <t>Amount</t>
  </si>
  <si>
    <t>Methods and Procedures Used in</t>
  </si>
  <si>
    <t>Capitalizing Allowance for Fund Used</t>
  </si>
  <si>
    <t>During Construction and Other Construction Overheads</t>
  </si>
  <si>
    <t>Schedule C-4</t>
  </si>
  <si>
    <t>Schedule H-1(2)(g)</t>
  </si>
  <si>
    <t>Regulatory Commission Expenses (Account No. 928)</t>
  </si>
  <si>
    <t>1/ These costs are not subject to review in the rate case since they are recovered in a rate surcharge.</t>
  </si>
  <si>
    <t>Schedule H-1(2)(h)</t>
  </si>
  <si>
    <t>Duplicate Charges - Credit (Account No. 929)</t>
  </si>
  <si>
    <t>Schedule H-1(2)(j)</t>
  </si>
  <si>
    <t>Ad Valorem Taxes</t>
  </si>
  <si>
    <t>Transfers to</t>
  </si>
  <si>
    <t>GPUC Additions</t>
  </si>
  <si>
    <t>Pipeline Projects under $500,000</t>
  </si>
  <si>
    <t>Compression Projects under $500,000</t>
  </si>
  <si>
    <t>Metering Projects under $500,000</t>
  </si>
  <si>
    <t>General Plant Projects under $500,000</t>
  </si>
  <si>
    <t>Other Taxes By Function</t>
  </si>
  <si>
    <t>Property</t>
  </si>
  <si>
    <r>
      <t>Adjustment</t>
    </r>
    <r>
      <rPr>
        <vertAlign val="superscript"/>
        <sz val="9"/>
        <rFont val="Arial"/>
        <family val="2"/>
      </rPr>
      <t>1</t>
    </r>
  </si>
  <si>
    <t>Regulatory Liabilities</t>
  </si>
  <si>
    <t>Schedule H-1(2)(k)</t>
  </si>
  <si>
    <t>Lease Expense</t>
  </si>
  <si>
    <t>Summary of O&amp;M and A&amp;G Adjustments</t>
  </si>
  <si>
    <t>Statement H-2</t>
  </si>
  <si>
    <t>Account No</t>
  </si>
  <si>
    <t>Depreciation, Depletion and Amortization Expense</t>
  </si>
  <si>
    <t xml:space="preserve">Current </t>
  </si>
  <si>
    <t>Plant</t>
  </si>
  <si>
    <t>Proposed</t>
  </si>
  <si>
    <t>Total as</t>
  </si>
  <si>
    <t>Gas Plant in Service Not Being</t>
  </si>
  <si>
    <t>Used in Rendering Gas Service</t>
  </si>
  <si>
    <t>Schedule C-5</t>
  </si>
  <si>
    <t>Less:  Gas Plant Not Subject to Deprec. Deplet or Amort</t>
  </si>
  <si>
    <t xml:space="preserve">Total  </t>
  </si>
  <si>
    <t>Transmission Plant Land (Plt. Acct. 365.1)</t>
  </si>
  <si>
    <t>Amortization, Per Statement H(2)</t>
  </si>
  <si>
    <t>Total Provisions Charged To Depreciation, Depletion</t>
  </si>
  <si>
    <t>and Amortization Expense Accounts</t>
  </si>
  <si>
    <t>Intangible Plant</t>
  </si>
  <si>
    <t>Regulatory Assets</t>
  </si>
  <si>
    <t>Rate Base Inclusion</t>
  </si>
  <si>
    <t>Organization</t>
  </si>
  <si>
    <t>Principal</t>
  </si>
  <si>
    <t>Amount of</t>
  </si>
  <si>
    <t>Expense</t>
  </si>
  <si>
    <t>Per</t>
  </si>
  <si>
    <t>Annual</t>
  </si>
  <si>
    <t>Test Period</t>
  </si>
  <si>
    <t>(m)</t>
  </si>
  <si>
    <t>(n)</t>
  </si>
  <si>
    <t>(o)</t>
  </si>
  <si>
    <t>(p)</t>
  </si>
  <si>
    <t>(q)</t>
  </si>
  <si>
    <t>Statement F-4</t>
  </si>
  <si>
    <t>Preferred Stock Equity</t>
  </si>
  <si>
    <t>Statement H-1</t>
  </si>
  <si>
    <t>Docket No.</t>
  </si>
  <si>
    <t>Structures and Improvements</t>
  </si>
  <si>
    <t>Ctr z</t>
  </si>
  <si>
    <t>Operation and Maintenance Expenses Summary</t>
  </si>
  <si>
    <t>Total Expenses</t>
  </si>
  <si>
    <t>As</t>
  </si>
  <si>
    <t>Franchises and Consents</t>
  </si>
  <si>
    <t>Rights-of-Way</t>
  </si>
  <si>
    <t>Mains</t>
  </si>
  <si>
    <t>Measuring and Regulating Station Equipment</t>
  </si>
  <si>
    <t>Communication Equipment</t>
  </si>
  <si>
    <t>Office Furniture and Equipment</t>
  </si>
  <si>
    <t>Transportation and Equipment</t>
  </si>
  <si>
    <t>Stores Equipment</t>
  </si>
  <si>
    <t>Tools, Shop and Garage Equipment</t>
  </si>
  <si>
    <t>Laboratory Equipment</t>
  </si>
  <si>
    <t>Power Operated Equipment</t>
  </si>
  <si>
    <t>Miscellaneous Equipment</t>
  </si>
  <si>
    <t>Total General Plant</t>
  </si>
  <si>
    <t>Computer Software</t>
  </si>
  <si>
    <t>Dr(Cr)</t>
  </si>
  <si>
    <t>Total Account No. 923</t>
  </si>
  <si>
    <t>Total Account No. 928</t>
  </si>
  <si>
    <t>Allocation of General Plant Accumulated Depreciation</t>
  </si>
  <si>
    <t>Allocation of General Plant Accumulated Amortization</t>
  </si>
  <si>
    <t>Allocation of Intangible Plant Accumulated Amortization</t>
  </si>
  <si>
    <t>Allocation Of General Plant Depreciation &amp; Amortization</t>
  </si>
  <si>
    <t>I-1(d)</t>
  </si>
  <si>
    <t>Equity</t>
  </si>
  <si>
    <t>AFUDC</t>
  </si>
  <si>
    <t>(j)</t>
  </si>
  <si>
    <t>Line</t>
  </si>
  <si>
    <t>No.</t>
  </si>
  <si>
    <t>Description</t>
  </si>
  <si>
    <t>Reference</t>
  </si>
  <si>
    <t>Total</t>
  </si>
  <si>
    <t>As Adjusted</t>
  </si>
  <si>
    <t>Transmission</t>
  </si>
  <si>
    <t>Statement A</t>
  </si>
  <si>
    <t>Page 1 of 3</t>
  </si>
  <si>
    <t>(a)</t>
  </si>
  <si>
    <t>(b)</t>
  </si>
  <si>
    <t>(d)</t>
  </si>
  <si>
    <t>(e)</t>
  </si>
  <si>
    <t>$</t>
  </si>
  <si>
    <t>(c)</t>
  </si>
  <si>
    <t>General Plant</t>
  </si>
  <si>
    <t xml:space="preserve">Total </t>
  </si>
  <si>
    <t>H-1</t>
  </si>
  <si>
    <t>H-2</t>
  </si>
  <si>
    <t>H-4</t>
  </si>
  <si>
    <t xml:space="preserve">Rate </t>
  </si>
  <si>
    <t>Case</t>
  </si>
  <si>
    <t>B</t>
  </si>
  <si>
    <t>H-3</t>
  </si>
  <si>
    <t>Page 2 of 3</t>
  </si>
  <si>
    <t>Total Operation and Maintenance Expenses</t>
  </si>
  <si>
    <t>Debt Capital</t>
  </si>
  <si>
    <t>(f)</t>
  </si>
  <si>
    <t>(g)</t>
  </si>
  <si>
    <t>Page 3 of 3</t>
  </si>
  <si>
    <t>Depreciation Expense</t>
  </si>
  <si>
    <t>Statement B</t>
  </si>
  <si>
    <t>Working Capital</t>
  </si>
  <si>
    <t>Accumulated Deferred Income Taxes</t>
  </si>
  <si>
    <t>D</t>
  </si>
  <si>
    <t>E</t>
  </si>
  <si>
    <t>Gas Plant In Service</t>
  </si>
  <si>
    <t>Allocation of General Plant</t>
  </si>
  <si>
    <t>C-1</t>
  </si>
  <si>
    <t>Statement C</t>
  </si>
  <si>
    <t>Cost of Plant</t>
  </si>
  <si>
    <t>FERC</t>
  </si>
  <si>
    <t>Acct</t>
  </si>
  <si>
    <t>Schedule</t>
  </si>
  <si>
    <t xml:space="preserve">Balance at </t>
  </si>
  <si>
    <t>Additions</t>
  </si>
  <si>
    <t>Reductions</t>
  </si>
  <si>
    <t>Transfers</t>
  </si>
  <si>
    <t>Balance at</t>
  </si>
  <si>
    <t>Adjustments</t>
  </si>
  <si>
    <t>Adjusted</t>
  </si>
  <si>
    <t>(h)</t>
  </si>
  <si>
    <t>(i)</t>
  </si>
  <si>
    <t>Gas Plant Purchased or Sold</t>
  </si>
  <si>
    <t>Gas Plant Held for Future Use</t>
  </si>
  <si>
    <t>Completed Construction-Not Classified</t>
  </si>
  <si>
    <t>Construction Work In Progress</t>
  </si>
  <si>
    <t>Total Cost of Plant</t>
  </si>
  <si>
    <t>C-2</t>
  </si>
  <si>
    <t>Books</t>
  </si>
  <si>
    <t>Schedule H-1(2)(b)</t>
  </si>
  <si>
    <t>Schedule H-1(2)(c)</t>
  </si>
  <si>
    <t>Office Supplies and Expenses (Account No. 921)</t>
  </si>
  <si>
    <t>Services</t>
  </si>
  <si>
    <t>Rendered</t>
  </si>
  <si>
    <t>Schedule H-1(2)(d)</t>
  </si>
  <si>
    <t>Administrative Expenses Transferred (Account No. 922)</t>
  </si>
  <si>
    <t>Schedule H-1(2)(e)</t>
  </si>
  <si>
    <t>Outside Services Employed (Account No. 923)</t>
  </si>
  <si>
    <t>Schedule H-1(2)(f)</t>
  </si>
  <si>
    <t>Employee Pensions and Benefits (Account No. 926)</t>
  </si>
  <si>
    <t>Overall Capitalization</t>
  </si>
  <si>
    <t>Statement F-3</t>
  </si>
  <si>
    <t>Title</t>
  </si>
  <si>
    <t>Date of</t>
  </si>
  <si>
    <t>Issue</t>
  </si>
  <si>
    <t>Maturity</t>
  </si>
  <si>
    <t>Interest</t>
  </si>
  <si>
    <t>Rate</t>
  </si>
  <si>
    <t>Excluded From</t>
  </si>
  <si>
    <t>Attorney Client Privilege - Entire Workbook</t>
  </si>
  <si>
    <t>Adjust Yellow section as needed.</t>
  </si>
  <si>
    <t>Gas Plant Additions Claimed in Rate Base</t>
  </si>
  <si>
    <t>Account 108 - Accumulated Provisions for Depreciation of</t>
  </si>
  <si>
    <t>Gas Plant in-service</t>
  </si>
  <si>
    <t>Original Transmission</t>
  </si>
  <si>
    <t>Total Accumulated Provision for Depreciation, Depletion and</t>
  </si>
  <si>
    <t>Amortization</t>
  </si>
  <si>
    <t>and Recording Abandonment</t>
  </si>
  <si>
    <t>Penalties (426.3)</t>
  </si>
  <si>
    <t>Total Gas Plant Subject To Depreciation, Depletion and</t>
  </si>
  <si>
    <t>Ground Maintenance</t>
  </si>
  <si>
    <t>Excluded From Rate Base</t>
  </si>
  <si>
    <t>Thirteen Month Average</t>
  </si>
  <si>
    <t>Total System Labor Costs</t>
  </si>
  <si>
    <t>December</t>
  </si>
  <si>
    <t xml:space="preserve">The company has not changed the methods and procedures used in capitalizing interest during construction </t>
  </si>
  <si>
    <t>None to report.</t>
  </si>
  <si>
    <t>The company has made no changes in the methods and procedures followed in depreciating, depleting, or amortizing plant and recording abandonments</t>
  </si>
  <si>
    <t>Test period</t>
  </si>
  <si>
    <t>Annualized Cost</t>
  </si>
  <si>
    <t xml:space="preserve">Operation and Maintenance Expenses </t>
  </si>
  <si>
    <t>Taxes Other than Income</t>
  </si>
  <si>
    <t>Schedule C-3</t>
  </si>
  <si>
    <t>Storage Projects</t>
  </si>
  <si>
    <t>Not Applicable.</t>
  </si>
  <si>
    <t>F-2</t>
  </si>
  <si>
    <t>FICA</t>
  </si>
  <si>
    <t>Federal and State Unemployment</t>
  </si>
  <si>
    <t>Projected FICA Taxes on Test Period Labor Expense</t>
  </si>
  <si>
    <t>Projected FUTA and SUTA on Test Period Labor Expense</t>
  </si>
  <si>
    <r>
      <t>Adjustments</t>
    </r>
    <r>
      <rPr>
        <u/>
        <vertAlign val="superscript"/>
        <sz val="10"/>
        <rFont val="Arial"/>
        <family val="2"/>
      </rPr>
      <t>1</t>
    </r>
  </si>
  <si>
    <r>
      <t>Adjustments</t>
    </r>
    <r>
      <rPr>
        <vertAlign val="superscript"/>
        <sz val="10"/>
        <rFont val="Arial"/>
        <family val="2"/>
      </rPr>
      <t>1</t>
    </r>
    <r>
      <rPr>
        <sz val="10"/>
        <rFont val="Arial"/>
        <family val="2"/>
      </rPr>
      <t>:</t>
    </r>
  </si>
  <si>
    <t>B-1</t>
  </si>
  <si>
    <t>Total Return on Rate Base</t>
  </si>
  <si>
    <t>Total Rate Base</t>
  </si>
  <si>
    <t>Return on Rate Base</t>
  </si>
  <si>
    <t>Statement L</t>
  </si>
  <si>
    <t>Comparative Balance Sheets</t>
  </si>
  <si>
    <t>Assets and Other Debits</t>
  </si>
  <si>
    <t>UTILITY PLANT</t>
  </si>
  <si>
    <t>OTHER PROPERTY AND INVESTMENTS</t>
  </si>
  <si>
    <t>CURRENT AND ACCRUED ASSETS</t>
  </si>
  <si>
    <t>DEFERRED DEBITS</t>
  </si>
  <si>
    <t>Liabilities and Other Credits</t>
  </si>
  <si>
    <t>PROPRIETARY CAPITAL</t>
  </si>
  <si>
    <t>Gas Owed to System Gas</t>
  </si>
  <si>
    <t>Customer Advances for Construction</t>
  </si>
  <si>
    <t>LONG TERM DEBT</t>
  </si>
  <si>
    <t>(Less) Current Portion of Long-Term Debt</t>
  </si>
  <si>
    <t>CURRENT AND ACCRUED LIABILITIES</t>
  </si>
  <si>
    <t>Current Portion of Long-Term Debt</t>
  </si>
  <si>
    <t>DEFERRED CREDITS</t>
  </si>
  <si>
    <t xml:space="preserve">TOTAL Utility Plant </t>
  </si>
  <si>
    <t>Utility Plant</t>
  </si>
  <si>
    <t xml:space="preserve">Construction Work in Progress </t>
  </si>
  <si>
    <t>(Less) Accum Provision for Depr, Amort, Depl.</t>
  </si>
  <si>
    <t>Net Utility Plant</t>
  </si>
  <si>
    <t xml:space="preserve">Nonutility Property </t>
  </si>
  <si>
    <t xml:space="preserve">(Less) Accum. Provision for Deprec and Amort </t>
  </si>
  <si>
    <t xml:space="preserve">Investments in Subsidiary Companies </t>
  </si>
  <si>
    <t>Long-Term Portion of Derivative Assets - Hedges</t>
  </si>
  <si>
    <t xml:space="preserve">TOTAL Other Property &amp; Invest. </t>
  </si>
  <si>
    <t>Cash</t>
  </si>
  <si>
    <t>Special Deposits</t>
  </si>
  <si>
    <t>Working Funds</t>
  </si>
  <si>
    <t>Temporary Cash Investments</t>
  </si>
  <si>
    <t xml:space="preserve">Customer Accounts Receivable </t>
  </si>
  <si>
    <t>Other Accounts Receivable</t>
  </si>
  <si>
    <t>(Less) Accum. Provision for Uncollectible Accts-Credit</t>
  </si>
  <si>
    <t>Notes Receivable from Associated Companies</t>
  </si>
  <si>
    <t>Accounts Receivable from Associated Companies</t>
  </si>
  <si>
    <t>October</t>
  </si>
  <si>
    <t>Gas Control services provided for Tuscarora Gas Transmission Company</t>
  </si>
  <si>
    <t>12 Months</t>
  </si>
  <si>
    <t>Ended</t>
  </si>
  <si>
    <t>Debt Cost @</t>
  </si>
  <si>
    <t>Equity Cost @</t>
  </si>
  <si>
    <t>Plant Materials and Operating Supplies</t>
  </si>
  <si>
    <t>Stores Expense Undistributed</t>
  </si>
  <si>
    <t>Interest and Dividends Receivable</t>
  </si>
  <si>
    <t>Miscellaneous Current and Accrued Assets</t>
  </si>
  <si>
    <t>TOTAL Current and Accrued Assets</t>
  </si>
  <si>
    <t>Unamortized Debt Expense</t>
  </si>
  <si>
    <t>Other Regulatory Assets</t>
  </si>
  <si>
    <t>Prelim Survey and Investigation Chrgs (Gas)</t>
  </si>
  <si>
    <t>Clearing Accounts</t>
  </si>
  <si>
    <t>Miscellaneous Deferred Debits</t>
  </si>
  <si>
    <t>Unamortized Loss on Reacquired Debt</t>
  </si>
  <si>
    <t>TOTAL Deferred Debits</t>
  </si>
  <si>
    <t>TOTAL Assets &amp; Other Debits</t>
  </si>
  <si>
    <t>Common Stock Issued</t>
  </si>
  <si>
    <t>Other Paid-In Capital</t>
  </si>
  <si>
    <t>Retained Earnings</t>
  </si>
  <si>
    <t>Unappropriated Undistributed Subsidiary Earnings</t>
  </si>
  <si>
    <t>Accumulated Other Comprehensive Income</t>
  </si>
  <si>
    <t>TOTAL Proprietary Capital</t>
  </si>
  <si>
    <t>Bonds</t>
  </si>
  <si>
    <t>Other Long-Term Debt</t>
  </si>
  <si>
    <t>(Less) Unamortized Discount on Long-Term Debt-Dr</t>
  </si>
  <si>
    <t>TOTAL Long-Term Debt</t>
  </si>
  <si>
    <t>Gas Operating Revenues (400)</t>
  </si>
  <si>
    <t>Operation Expenses (401)</t>
  </si>
  <si>
    <t>Maintenance Expenses (402)</t>
  </si>
  <si>
    <t>Depreciation Expense  (403)</t>
  </si>
  <si>
    <t>Amortization and Depletion of Utility Plant (404-405)</t>
  </si>
  <si>
    <t>Regulatory Debits (407.3)</t>
  </si>
  <si>
    <t>(Less) Regulatory Credits (407.4)</t>
  </si>
  <si>
    <t>Taxes Other than Income Taxes (408.1)</t>
  </si>
  <si>
    <t>Income Taxes-Federal (409.1)</t>
  </si>
  <si>
    <t>Income Taxes-Other (409.1)</t>
  </si>
  <si>
    <t>Provision of Deferred Income Taxes (410.1)</t>
  </si>
  <si>
    <t>(Less) Prov for Deferred Income Taxes-Cr (411.1)</t>
  </si>
  <si>
    <t>TOTAL Utility Operating Expenses (Total of lines 4 thru 24)</t>
  </si>
  <si>
    <t>Net Utility Op Inc (Carried forward from p 114)</t>
  </si>
  <si>
    <t>Equity in Earnings of Subsidiary Companies (418.1)</t>
  </si>
  <si>
    <t>Interest and Dividend Income (419)</t>
  </si>
  <si>
    <t>Allowance for Other Funds Used During Construction (419.1)</t>
  </si>
  <si>
    <t>Transmission Plant - Mainline</t>
  </si>
  <si>
    <t>Total Transmission Plant - Mainline</t>
  </si>
  <si>
    <t>General Plant - Mainline</t>
  </si>
  <si>
    <t>Total General Plant - Mainline</t>
  </si>
  <si>
    <t>Total Cost Allocation Summary</t>
  </si>
  <si>
    <t>Expenditures of Certain Civic, Political and Related Deductions</t>
  </si>
  <si>
    <t>Miscellaneous Nonoperating Income (421)</t>
  </si>
  <si>
    <t>TOTAL Other Income (Total of lines 31 thru 40)</t>
  </si>
  <si>
    <t>Donations (426.1)</t>
  </si>
  <si>
    <t>Other Deductions (426.5)</t>
  </si>
  <si>
    <t>TOTAL Other Income Deductions (Total of lines 43 thru 49)</t>
  </si>
  <si>
    <t>Income Taxes-Federal (409.2)</t>
  </si>
  <si>
    <t>Income Taxes-Other (409.2)</t>
  </si>
  <si>
    <t>Provision for Deferred Income Taxes (410.2)</t>
  </si>
  <si>
    <t>(Less) Provision for Deferred Income Taxes-Credit (411.2)</t>
  </si>
  <si>
    <t>TOTAL Taxes on Other Inc and Deduct (Total of lines 52-58)</t>
  </si>
  <si>
    <t>Net Other Income and Deductions (Total of lines 41, 50, 59)</t>
  </si>
  <si>
    <t>Interest on Long-Term Debt (427)</t>
  </si>
  <si>
    <t>Amortization of Debt Disc. and Expense (428)</t>
  </si>
  <si>
    <t>Amortization of Loss on Reacquired Debt (428.1)</t>
  </si>
  <si>
    <t>(Less) Amortization of Premium on Debt-Credit (429)</t>
  </si>
  <si>
    <t>(Less) Amort of Gain on Reacquired Debt-Credit (429.1)</t>
  </si>
  <si>
    <t>Interest on Debt to Associated Companies (430)</t>
  </si>
  <si>
    <t>Other Interest Expense (431)</t>
  </si>
  <si>
    <t>(Less) AFBFC-Credit (432)</t>
  </si>
  <si>
    <t>Net Interest Charges (Total of lines 62 thru 69)</t>
  </si>
  <si>
    <t>Inc Before Extraordinary Items (Total of lines 27,60,70)</t>
  </si>
  <si>
    <t>Net Income (Total of lines 71 and 77)</t>
  </si>
  <si>
    <t>Adjusted Balance</t>
  </si>
  <si>
    <t xml:space="preserve"> </t>
  </si>
  <si>
    <t>Total Intangible Plant - Original System</t>
  </si>
  <si>
    <t>Total Transmission Plant - Original System</t>
  </si>
  <si>
    <t>Total General Plant - Original System</t>
  </si>
  <si>
    <t>Miscellaneous General Expenses ( Account No. 930)</t>
  </si>
  <si>
    <t>Current
Rate</t>
  </si>
  <si>
    <t>Proposed
Rate</t>
  </si>
  <si>
    <t>365 - 370</t>
  </si>
  <si>
    <t>Account 111 - Accumulated Provision for Amortization</t>
  </si>
  <si>
    <t>Communications Equipment General Plant</t>
  </si>
  <si>
    <t>Total Depreciation</t>
  </si>
  <si>
    <t>Schedule C-1</t>
  </si>
  <si>
    <t>Schedule C-2</t>
  </si>
  <si>
    <t>Schedule G-5</t>
  </si>
  <si>
    <t>Schedule H-1(1)(a)</t>
  </si>
  <si>
    <t>Schedule I-1(a)</t>
  </si>
  <si>
    <t>Schedule I-1(b)</t>
  </si>
  <si>
    <t>Hard coded Numbers have not been updated for the current rate case</t>
  </si>
  <si>
    <t>Total Cost of Gas Plant - Mainline</t>
  </si>
  <si>
    <t>Total Mainline</t>
  </si>
  <si>
    <t>Negative Salvage - Mainline</t>
  </si>
  <si>
    <t>Adj 1</t>
  </si>
  <si>
    <t>Adj 2</t>
  </si>
  <si>
    <t>Adj 3</t>
  </si>
  <si>
    <t>Adj 4</t>
  </si>
  <si>
    <t>Adj 5</t>
  </si>
  <si>
    <t>Adj 6</t>
  </si>
  <si>
    <t>Adj 7</t>
  </si>
  <si>
    <t>Adj 8</t>
  </si>
  <si>
    <t>Adj 9</t>
  </si>
  <si>
    <t>Adj 10</t>
  </si>
  <si>
    <t>Post Retirement</t>
  </si>
  <si>
    <t>Medical and Life</t>
  </si>
  <si>
    <t>Non-Depreciable Gas Plant</t>
  </si>
  <si>
    <t>Depr Expense</t>
  </si>
  <si>
    <t>Total Account No. 930</t>
  </si>
  <si>
    <t>Legal</t>
  </si>
  <si>
    <t>Other Special Services</t>
  </si>
  <si>
    <t>Statement I</t>
  </si>
  <si>
    <t>Explanatory Notes</t>
  </si>
  <si>
    <t>no schedules showing a functionalization of cost of service.</t>
  </si>
  <si>
    <t>Schedule I-1(b) allocates the cost of service between incremental and non-incremental facilities.</t>
  </si>
  <si>
    <t>Cost of Service Summary</t>
  </si>
  <si>
    <t>Other Regulatory Expenses</t>
  </si>
  <si>
    <t xml:space="preserve">     Oregon</t>
  </si>
  <si>
    <t>Subtotal Ad Valorem Taxes</t>
  </si>
  <si>
    <t>at the request of counsel.</t>
  </si>
  <si>
    <t>Accumulated Provision for Pensions and Benefits</t>
  </si>
  <si>
    <t>TOTAL Other Noncurrent Liabilities</t>
  </si>
  <si>
    <t>Accounts Payable</t>
  </si>
  <si>
    <t>Notes Payable to Associated Companies</t>
  </si>
  <si>
    <t>Accounts Payable to Associated Companies</t>
  </si>
  <si>
    <t>Customer Deposits</t>
  </si>
  <si>
    <t>Taxes Accrued</t>
  </si>
  <si>
    <t>Interest Accrued</t>
  </si>
  <si>
    <t>Misc Current and Accrued Liabilities</t>
  </si>
  <si>
    <t>TOTAL Current and Accrued Liabilities</t>
  </si>
  <si>
    <t>Accumulated Provision for Onshore Book Regulatory Depreciation, Depletion, and Amortization</t>
  </si>
  <si>
    <t>Other Deferred Credits</t>
  </si>
  <si>
    <t>Other Regulatory Liabilities</t>
  </si>
  <si>
    <t>Unamortized Gain on Reacquired Debt</t>
  </si>
  <si>
    <t>Accum Deferred Income Taxes -Other Property</t>
  </si>
  <si>
    <t>Accumulated Deferred Income Taxes -Other</t>
  </si>
  <si>
    <t>TOTAL Deferred Credits</t>
  </si>
  <si>
    <t xml:space="preserve">TOTAL Liab. &amp; Other Cr </t>
  </si>
  <si>
    <t>Income Statement</t>
  </si>
  <si>
    <t>1</t>
  </si>
  <si>
    <t>UTILITY OPERATING INCOME</t>
  </si>
  <si>
    <t>Operating Expenses</t>
  </si>
  <si>
    <t>OTHER INCOME AND DEDUCTIONS</t>
  </si>
  <si>
    <t>Other Income</t>
  </si>
  <si>
    <t>Other Income Deductions</t>
  </si>
  <si>
    <t>Taxes Applic. to Other Income and Deductions</t>
  </si>
  <si>
    <t>INTEREST CHARGES</t>
  </si>
  <si>
    <t>Statement M</t>
  </si>
  <si>
    <t>Outstanding</t>
  </si>
  <si>
    <t>Issue (Gross)</t>
  </si>
  <si>
    <t>Gas used for Other Utility Operations-Cr</t>
  </si>
  <si>
    <t>Consolidation</t>
  </si>
  <si>
    <t>Tuscarora Gas Transmission Company</t>
  </si>
  <si>
    <t xml:space="preserve">Regulatory Assets </t>
  </si>
  <si>
    <t xml:space="preserve">Regulatory Liabilities </t>
  </si>
  <si>
    <t>Deferred</t>
  </si>
  <si>
    <t>Income Tax</t>
  </si>
  <si>
    <t>Acct 254</t>
  </si>
  <si>
    <t>May</t>
  </si>
  <si>
    <t>Tuscarora Gas Transmission Company does not have storage gas for resale</t>
  </si>
  <si>
    <t>Tuscarora Gas Transmission Company has no Other Revenue.</t>
  </si>
  <si>
    <t>Tuscarora Gas Transmission Company has no preferred stock equity.</t>
  </si>
  <si>
    <t>April 30, 2011, As Adjusted</t>
  </si>
  <si>
    <t xml:space="preserve">The total return included in Tuscarora Gas Transmission Company's cost of service shown in Statement A herein is based on a </t>
  </si>
  <si>
    <t>Senior Secured Note- Series A</t>
  </si>
  <si>
    <t>Senior Secured Note- Series B</t>
  </si>
  <si>
    <t>Senior Secured Note- Series C</t>
  </si>
  <si>
    <t>Senior Secured Note- Series D</t>
  </si>
  <si>
    <t>for the 12-month</t>
  </si>
  <si>
    <t>Period ending April 30, 2011</t>
  </si>
  <si>
    <t>% of Days outstanding</t>
  </si>
  <si>
    <t>Interest for the</t>
  </si>
  <si>
    <t>12-month period</t>
  </si>
  <si>
    <t>Ending April 30, 2011</t>
  </si>
  <si>
    <t xml:space="preserve">Debt Issuance </t>
  </si>
  <si>
    <t xml:space="preserve">Expense for the </t>
  </si>
  <si>
    <t>Average</t>
  </si>
  <si>
    <t xml:space="preserve">Cost </t>
  </si>
  <si>
    <t xml:space="preserve">Cost Rate of the </t>
  </si>
  <si>
    <t xml:space="preserve">Average Principal Amount </t>
  </si>
  <si>
    <t>Cost of Long Term Debt</t>
  </si>
  <si>
    <t>Contains wording as well as numbers that need to be updated.</t>
  </si>
  <si>
    <t>TransCanada Pipeline Intercompany Transactions Charged to Tuscarora</t>
  </si>
  <si>
    <t>Principal Amount of</t>
  </si>
  <si>
    <t>Effective</t>
  </si>
  <si>
    <t>Issue Outstanding</t>
  </si>
  <si>
    <t>Issuance</t>
  </si>
  <si>
    <t>Percent</t>
  </si>
  <si>
    <t>Days</t>
  </si>
  <si>
    <t>Interest At</t>
  </si>
  <si>
    <t>Annualized</t>
  </si>
  <si>
    <t>of Gross</t>
  </si>
  <si>
    <t>Net</t>
  </si>
  <si>
    <t>[1]</t>
  </si>
  <si>
    <t>[2]</t>
  </si>
  <si>
    <t>Tuscarora does not maintain records of costs by zone.</t>
  </si>
  <si>
    <t>Misc Intangible Plant</t>
  </si>
  <si>
    <t xml:space="preserve">Land </t>
  </si>
  <si>
    <t>Land Rights</t>
  </si>
  <si>
    <t>Mains Linepack</t>
  </si>
  <si>
    <t>CommEquip - H/W &amp; S/W</t>
  </si>
  <si>
    <t>Office Furn&amp;Equip-Com</t>
  </si>
  <si>
    <t>368.0</t>
  </si>
  <si>
    <t>368.1</t>
  </si>
  <si>
    <t>301 - 303</t>
  </si>
  <si>
    <t>391.0</t>
  </si>
  <si>
    <t>All of Tuscarora's facilities are used to provide transmission service so there are</t>
  </si>
  <si>
    <t>Mainline/Expansions Cost of Service Summary</t>
  </si>
  <si>
    <t>Mainline and Expansions</t>
  </si>
  <si>
    <t>Transmission Plant - Original System</t>
  </si>
  <si>
    <t>General Plant - Original System</t>
  </si>
  <si>
    <t>Intangible Plant - Original System</t>
  </si>
  <si>
    <t>Negative Salvage- Mainline</t>
  </si>
  <si>
    <t>CommEquip - H/W &amp; S/W*</t>
  </si>
  <si>
    <t>Structures and Improvements*</t>
  </si>
  <si>
    <t>Computer Software*</t>
  </si>
  <si>
    <t>Transportation Equipment*</t>
  </si>
  <si>
    <t>*Fully depreciated</t>
  </si>
  <si>
    <t>Total Intangible Plant</t>
  </si>
  <si>
    <t>Natural Gas Production Expenses</t>
  </si>
  <si>
    <t>Other Gas Purchases</t>
  </si>
  <si>
    <t>Exchange Gas</t>
  </si>
  <si>
    <t>Gas Withdrawn from Storage-Debit</t>
  </si>
  <si>
    <t>Gas Delivered to Storage-Credit</t>
  </si>
  <si>
    <t>Gas Used for Compressor Station Fuel-Credit</t>
  </si>
  <si>
    <t>Gas Used for Other Utility Operations-Credit</t>
  </si>
  <si>
    <t>Adjustment No. 1 - 805-813 Other Gas Supply Expenses</t>
  </si>
  <si>
    <t>Gas Compressor Fuel Station</t>
  </si>
  <si>
    <t>Intangible Plant - Mainline</t>
  </si>
  <si>
    <t>Total Intangible Plant - Mainline</t>
  </si>
  <si>
    <t>Total - Mainline</t>
  </si>
  <si>
    <t>Total Non-Depreciable Gas Plant</t>
  </si>
  <si>
    <t>Mains Linepack (Plt. Acct. 367.1)</t>
  </si>
  <si>
    <t>Amortization of Rate case costs</t>
  </si>
  <si>
    <t>Gas Operation and Maintenance Expenses Summary</t>
  </si>
  <si>
    <t>Expenses Applicable to Accounts 806, 808.1, 808.2, 854,and 813</t>
  </si>
  <si>
    <t xml:space="preserve">Gas Withdrawn from Storage-Debit  </t>
  </si>
  <si>
    <t xml:space="preserve">Gas Delivered to Storage-Credit  </t>
  </si>
  <si>
    <t>Dths Applicable to Accounts  806, 808.1, 808.2, 854,and 813</t>
  </si>
  <si>
    <t>Schedule H-1(2)(a)</t>
  </si>
  <si>
    <t>Plant and Depreciation</t>
  </si>
  <si>
    <t>Distribution- May 27, 2011</t>
  </si>
  <si>
    <r>
      <t xml:space="preserve">Estimated Distribution </t>
    </r>
    <r>
      <rPr>
        <sz val="10"/>
        <color indexed="10"/>
        <rFont val="Arial"/>
        <family val="2"/>
      </rPr>
      <t>August 2011</t>
    </r>
  </si>
  <si>
    <t>Series C Principal Payment- June 21, 2011</t>
  </si>
  <si>
    <t>Adjustment No. 2 - 854 Gas For Compressor Station Fuel</t>
  </si>
  <si>
    <t>Adjustment No. 3  -  923 Outside Services Employed</t>
  </si>
  <si>
    <t>Adjustment No. 4  -  928 Regulatory Commission Expenses</t>
  </si>
  <si>
    <t xml:space="preserve">Compressor Station Equipment </t>
  </si>
  <si>
    <t>Compressor Station Equipment</t>
  </si>
  <si>
    <t>Use Tax</t>
  </si>
  <si>
    <t>Docket No. RP16-299-000</t>
  </si>
  <si>
    <t>For the Twelve Months Ended December 31, 2015</t>
  </si>
  <si>
    <t>For the Thirteen Months Ended December 31, 2015</t>
  </si>
  <si>
    <t>as of 12/31/2015</t>
  </si>
  <si>
    <t>Six Months Out</t>
  </si>
  <si>
    <t>January</t>
  </si>
  <si>
    <t>Tuscarora Rate Case 2016</t>
  </si>
  <si>
    <t>Z:\Tuscarora_Accounting\Rate case 2016\Base Period Schedules</t>
  </si>
  <si>
    <t>GPUC at December 31</t>
  </si>
  <si>
    <t>For the Twelve Months Ended December 31, 2015, As Adjusted</t>
  </si>
  <si>
    <t>December, 2014</t>
  </si>
  <si>
    <t>This is the unexpired issuance costs from January 1, 2015</t>
  </si>
  <si>
    <t>Days outstanding from January 1, 2015</t>
  </si>
  <si>
    <t>E.002342</t>
  </si>
  <si>
    <t>2015 Tuscarora Monitoring at Shoetree</t>
  </si>
  <si>
    <t>January 2016 - June 2016</t>
  </si>
  <si>
    <t>Compressor Station Equipment (Post 2006)</t>
  </si>
  <si>
    <t xml:space="preserve">Compressor Station Equipment (Rate Adj) </t>
  </si>
  <si>
    <t>No</t>
  </si>
  <si>
    <t>Exchange Gas  /1</t>
  </si>
  <si>
    <t>Gas Withdrawn from Storage-Debit   /1</t>
  </si>
  <si>
    <t>Gas Delivered to Storage-Credit   /1</t>
  </si>
  <si>
    <t>/1 Includes 1,137 Dths OBA gas sold</t>
  </si>
  <si>
    <t>Tuscarora Gas Transmission Company has no Advertising Expenses to report.</t>
  </si>
  <si>
    <t>Tuscarora Gas Transmission Company has no Office Supplies and Expenses to report.</t>
  </si>
  <si>
    <t>Tuscarora Gas Transmission Company has no Administrative Expenses to report.</t>
  </si>
  <si>
    <t>Audit and Accounting</t>
  </si>
  <si>
    <t>Regulatory Ext Legal Costs-Flowthrough</t>
  </si>
  <si>
    <t>Support Svcs Chrg Recovery-Personnel</t>
  </si>
  <si>
    <t>Cost Allocations</t>
  </si>
  <si>
    <t>Tuscarora Gas Transmission Company is billed on a monthly basis for allocated services provided by the following entities:</t>
  </si>
  <si>
    <t>-         TransCanada Pipeline LTD</t>
  </si>
  <si>
    <t xml:space="preserve">-         TransCanada USA Services Inc.  </t>
  </si>
  <si>
    <t xml:space="preserve">-         TransCanada USA Pipeline Services LLC  </t>
  </si>
  <si>
    <t>TransCanada is organized as an integrated functional organization in order to realize operational efficiencies amongst its various lines of business. The allocation policy is based on the principle of direct charging costs to lines of business wherever possible and practical, and allocating the remaining costs using appropriate allocation drivers. Costs are categorized according to the nature of the costs and/or services provided to the various lines of business and allocated at a departmental level or general expense cost type. The corporate cost allocation policy ensures that individual lines of business receive their appropriate cost share of integrated services. TransCanada’s operations perform the following functions for ANR Storage Company:</t>
  </si>
  <si>
    <t>a.       Accounting Services</t>
  </si>
  <si>
    <t>b.       Finance and Treasury</t>
  </si>
  <si>
    <t>c.       Human Resources Administration and Payroll</t>
  </si>
  <si>
    <t>d.       Information Systems Shared Services</t>
  </si>
  <si>
    <t>e.       Engineering/Project Management Services</t>
  </si>
  <si>
    <t>f.        Legal including Corporate Secretarial</t>
  </si>
  <si>
    <t>g.       Community, Safety and Environment</t>
  </si>
  <si>
    <t>h.       Field Services</t>
  </si>
  <si>
    <t>TransCanada Pipeline LTD</t>
  </si>
  <si>
    <t>TransCanada USA Services Inc</t>
  </si>
  <si>
    <t>TransCanada USA Pipeline Services LLC</t>
  </si>
  <si>
    <t>Right of Way</t>
  </si>
  <si>
    <t>Stock and Debt Administration Fees</t>
  </si>
  <si>
    <t>Tuscarora Gas Transmission Company has no Duplicate Charges - Credits to report.</t>
  </si>
  <si>
    <t>Regulatory Cost Recovery 1/</t>
  </si>
  <si>
    <t>Tuscarora Gas Transmission Company has no Employee Pensions and Benefits to report.</t>
  </si>
  <si>
    <t>Schedule H-1(1)</t>
  </si>
  <si>
    <t>Summary of System Labor, Materials and Other Expenses, and Expenses Applicable to 810 and 812</t>
  </si>
  <si>
    <t>Refer to Statement H-1 Page 1, lines 11 thru 50 for a summary of System Labor, Materials and</t>
  </si>
  <si>
    <t>Other Expenses.  Lines 7 and 8 summarize Expenses applicable to 810 and 812.</t>
  </si>
  <si>
    <t>Elimination of cost of shipper gas used for compressor station fuel, unaccounted for gas, other utility operations, as well as imbalance activity.</t>
  </si>
  <si>
    <t>Adjustment to eliminate allocated Political Donations and reflect increased Commercial Systems costs during 2016 and going forward</t>
  </si>
  <si>
    <t>Adjustment No. 5  -  928 Regulatory Commission Expenses</t>
  </si>
  <si>
    <t>To adjust for amortization of estimated Tuscarora rate case costs</t>
  </si>
  <si>
    <t>Adjustment No. 6  -  Merit Increase</t>
  </si>
  <si>
    <t>To adjust for assumed 3% merit increase to Salaries and Wages</t>
  </si>
  <si>
    <t xml:space="preserve">     Foreign</t>
  </si>
  <si>
    <t>Use Tax - CA Fuel</t>
  </si>
  <si>
    <t>Foreign</t>
  </si>
  <si>
    <t>Adjustments and Test Period Activity</t>
  </si>
  <si>
    <t>As Adjusted (Estimated Balance at 6/30/16)</t>
  </si>
  <si>
    <t>Adjustments and</t>
  </si>
  <si>
    <t>Activity</t>
  </si>
  <si>
    <t>Adjusted Test</t>
  </si>
  <si>
    <t>Period Projection</t>
  </si>
  <si>
    <t>(Rate Base)</t>
  </si>
  <si>
    <t xml:space="preserve">GPUC </t>
  </si>
  <si>
    <r>
      <t>2016 Expected New Debt</t>
    </r>
    <r>
      <rPr>
        <sz val="9"/>
        <color rgb="FFFF0000"/>
        <rFont val="Arial"/>
        <family val="2"/>
      </rPr>
      <t xml:space="preserve"> [3]</t>
    </r>
  </si>
  <si>
    <t>[3]</t>
  </si>
  <si>
    <t>Adjustment No. 7  -  Reserve For Insurance</t>
  </si>
  <si>
    <t>To adjust for Insurance Reserve</t>
  </si>
  <si>
    <t>Account No. 403 - Depreciation Mainline</t>
  </si>
  <si>
    <t>Account No. 404.3 - Amortization Mainline</t>
  </si>
  <si>
    <t>Federal and State Income Tax Allowance</t>
  </si>
  <si>
    <t>Categories of Unit Ownership</t>
  </si>
  <si>
    <t>Weighted Composite Tax Rate</t>
  </si>
  <si>
    <t>Partnerships</t>
  </si>
  <si>
    <t>Pension Plans</t>
  </si>
  <si>
    <t>Qualified Pension Plans</t>
  </si>
  <si>
    <t>Other</t>
  </si>
  <si>
    <t>IRASEP</t>
  </si>
  <si>
    <t>Roth IRA</t>
  </si>
  <si>
    <t>Individual</t>
  </si>
  <si>
    <t>Exempt Organization</t>
  </si>
  <si>
    <t>Estate</t>
  </si>
  <si>
    <t>Corporation</t>
  </si>
  <si>
    <t>Educational IRA</t>
  </si>
  <si>
    <t>Trust</t>
  </si>
  <si>
    <t>Clearing</t>
  </si>
  <si>
    <t>Adjusted Composite Tax Rate</t>
  </si>
  <si>
    <t>Statement J</t>
  </si>
  <si>
    <t>Tuscarora Gas Transmission</t>
  </si>
  <si>
    <t>Comparison and Reconciliation of Estimated Revenue with Cost of Service</t>
  </si>
  <si>
    <t>Line No.</t>
  </si>
  <si>
    <t>Reservation</t>
  </si>
  <si>
    <t>Delivery</t>
  </si>
  <si>
    <t>Operating Revenues</t>
  </si>
  <si>
    <t xml:space="preserve">   Estimated Operating Revenues</t>
  </si>
  <si>
    <t xml:space="preserve">      Total Firm Revenues</t>
  </si>
  <si>
    <t xml:space="preserve">      Total Interruptible Revenues</t>
  </si>
  <si>
    <t>Total Revenues</t>
  </si>
  <si>
    <t>Operation and Maintenance Expense</t>
  </si>
  <si>
    <t xml:space="preserve">   Transmission</t>
  </si>
  <si>
    <t xml:space="preserve">   Administrative and General</t>
  </si>
  <si>
    <t>Taxes Other Than Income</t>
  </si>
  <si>
    <t>Return</t>
  </si>
  <si>
    <t>Federal Income Tax</t>
  </si>
  <si>
    <t>State Income Tax</t>
  </si>
  <si>
    <t>/1    Variance created by rate rounding to four decimal places.</t>
  </si>
  <si>
    <t>Schedule J-1</t>
  </si>
  <si>
    <t>Summary of Billing Determinants Used in J-2 and Reconciliation to G-2</t>
  </si>
  <si>
    <t>Reservation-Dth/d</t>
  </si>
  <si>
    <t>Rate Schedule</t>
  </si>
  <si>
    <t>G-2 Determinants</t>
  </si>
  <si>
    <t>J-2 Determinants</t>
  </si>
  <si>
    <t>Firm</t>
  </si>
  <si>
    <t>Interruptible</t>
  </si>
  <si>
    <t>Schedule J-2</t>
  </si>
  <si>
    <t>Derivation of Rates</t>
  </si>
  <si>
    <t>Allocated Costs</t>
  </si>
  <si>
    <t>Total COS for Rate Design</t>
  </si>
  <si>
    <t>Billing Determinants</t>
  </si>
  <si>
    <t>Total Billing Determinates for Rate Design</t>
  </si>
  <si>
    <t>Sch. J-1, column c</t>
  </si>
  <si>
    <t>Daily Recourse Rates</t>
  </si>
  <si>
    <t xml:space="preserve">Full Haul Unit Rate </t>
  </si>
  <si>
    <t>Interruptible 100% Load Factor Rate</t>
  </si>
  <si>
    <t>Statement G</t>
  </si>
  <si>
    <t>Revenues, Credits, and Billing Determinants</t>
  </si>
  <si>
    <t>Service Type (Rate Schedule)</t>
  </si>
  <si>
    <t>Reservation Revenue</t>
  </si>
  <si>
    <t>Delivery Revenue</t>
  </si>
  <si>
    <t>Transportation Revenue</t>
  </si>
  <si>
    <t>ACA Revenue</t>
  </si>
  <si>
    <t>Reservation Quantity (MDQ)</t>
  </si>
  <si>
    <t>Delivery Quantity</t>
  </si>
  <si>
    <t>Firm Transportation (FT)</t>
  </si>
  <si>
    <t>Capacity Release (FT)</t>
  </si>
  <si>
    <t>Interruptible Transportation (IT)</t>
  </si>
  <si>
    <t>Subtotal</t>
  </si>
  <si>
    <t>line No.</t>
  </si>
  <si>
    <t>Shipper</t>
  </si>
  <si>
    <t>Affiliate</t>
  </si>
  <si>
    <t>Contract Number</t>
  </si>
  <si>
    <t xml:space="preserve">Delivery Quantity </t>
  </si>
  <si>
    <t>Reservation Rate</t>
  </si>
  <si>
    <t>Delivery Rate</t>
  </si>
  <si>
    <t>ACA Rate</t>
  </si>
  <si>
    <t>Revenue Credit</t>
  </si>
  <si>
    <t>January 2015</t>
  </si>
  <si>
    <t>Sierra Pacific Power Company</t>
  </si>
  <si>
    <t>N</t>
  </si>
  <si>
    <t>FT</t>
  </si>
  <si>
    <t>F001</t>
  </si>
  <si>
    <t>Avista Corporation</t>
  </si>
  <si>
    <t>F007</t>
  </si>
  <si>
    <t>Sierra Army Depot</t>
  </si>
  <si>
    <t>F008</t>
  </si>
  <si>
    <t>United States Gypsum Company</t>
  </si>
  <si>
    <t>F009</t>
  </si>
  <si>
    <t>F019</t>
  </si>
  <si>
    <t>City of Susanville</t>
  </si>
  <si>
    <t>F020</t>
  </si>
  <si>
    <t>Department of Corrections</t>
  </si>
  <si>
    <t>F021</t>
  </si>
  <si>
    <t>F024</t>
  </si>
  <si>
    <t>F025</t>
  </si>
  <si>
    <t>Southwest Gas Corporation</t>
  </si>
  <si>
    <t>F026</t>
  </si>
  <si>
    <t>F027</t>
  </si>
  <si>
    <t>F030</t>
  </si>
  <si>
    <t>IGI Resources, Inc.</t>
  </si>
  <si>
    <t>F034</t>
  </si>
  <si>
    <t>F037</t>
  </si>
  <si>
    <t>F063</t>
  </si>
  <si>
    <t>F086</t>
  </si>
  <si>
    <t>F097</t>
  </si>
  <si>
    <t>Plumas-Sierra REC</t>
  </si>
  <si>
    <t>F131</t>
  </si>
  <si>
    <t>F132</t>
  </si>
  <si>
    <t>F147</t>
  </si>
  <si>
    <t>Schlosser Forge Company</t>
  </si>
  <si>
    <t>F216</t>
  </si>
  <si>
    <t>R. R.  Donnelley &amp; Sons</t>
  </si>
  <si>
    <t>F217</t>
  </si>
  <si>
    <t>Harrahs Operating Company, Inc.</t>
  </si>
  <si>
    <t>F218</t>
  </si>
  <si>
    <t>Eldorado Resorts, LLC</t>
  </si>
  <si>
    <t>F219</t>
  </si>
  <si>
    <t>Prime HealthCare Services - Reno, LLC</t>
  </si>
  <si>
    <t>F220</t>
  </si>
  <si>
    <t>Renown Regional Medical Center</t>
  </si>
  <si>
    <t>F221</t>
  </si>
  <si>
    <t>Sparks Nugget, Inc.</t>
  </si>
  <si>
    <t>F222</t>
  </si>
  <si>
    <t>MEI-GSR Holdings, LLC</t>
  </si>
  <si>
    <t>F223</t>
  </si>
  <si>
    <t>Circus and Eldorado Joint Venture dba Silver Legacy Resort Casino</t>
  </si>
  <si>
    <t>F224</t>
  </si>
  <si>
    <t>Total Firm</t>
  </si>
  <si>
    <t>Capacity Release</t>
  </si>
  <si>
    <t>FT(RP)</t>
  </si>
  <si>
    <t>F151</t>
  </si>
  <si>
    <t>F215</t>
  </si>
  <si>
    <t>F225</t>
  </si>
  <si>
    <t>Shell Energy North America</t>
  </si>
  <si>
    <t>F229</t>
  </si>
  <si>
    <t>F230</t>
  </si>
  <si>
    <t>Eldorado Hotel Associates</t>
  </si>
  <si>
    <t>FT(RL)</t>
  </si>
  <si>
    <t>F005</t>
  </si>
  <si>
    <t>West Coast Gas Company, Inc.</t>
  </si>
  <si>
    <t>F033</t>
  </si>
  <si>
    <t>Barrick Goldstrike Mines Inc.</t>
  </si>
  <si>
    <t>F074</t>
  </si>
  <si>
    <t>Total Capacity Release</t>
  </si>
  <si>
    <t>IT</t>
  </si>
  <si>
    <t>I001</t>
  </si>
  <si>
    <t>I142</t>
  </si>
  <si>
    <t>BP Energy Company</t>
  </si>
  <si>
    <t>I191</t>
  </si>
  <si>
    <t>Total Interruptible</t>
  </si>
  <si>
    <t>February 2015</t>
  </si>
  <si>
    <t>I214</t>
  </si>
  <si>
    <t>March 2015</t>
  </si>
  <si>
    <t>April 2015</t>
  </si>
  <si>
    <t>May 2015</t>
  </si>
  <si>
    <t>June 2015</t>
  </si>
  <si>
    <t>California Department of Corrections and Rehabilitation</t>
  </si>
  <si>
    <t>Plumas-Sierra Rural Electric Cooperative</t>
  </si>
  <si>
    <t>Shell Energy North America (US), L.P.</t>
  </si>
  <si>
    <t>Eldorado Resorts LLC</t>
  </si>
  <si>
    <t>July 2015</t>
  </si>
  <si>
    <t>August 2015</t>
  </si>
  <si>
    <t>September 2015</t>
  </si>
  <si>
    <t>321</t>
  </si>
  <si>
    <t>October 2015</t>
  </si>
  <si>
    <t>322</t>
  </si>
  <si>
    <t>323</t>
  </si>
  <si>
    <t>November 2015</t>
  </si>
  <si>
    <t>Harrah's Operating Company, Inc.</t>
  </si>
  <si>
    <t>312</t>
  </si>
  <si>
    <t>Sheltie OpCO, LLC DBA Nugget Casino Resort</t>
  </si>
  <si>
    <t>313</t>
  </si>
  <si>
    <t>R.R. Donnelley &amp; Sons Company</t>
  </si>
  <si>
    <t>314</t>
  </si>
  <si>
    <t>315</t>
  </si>
  <si>
    <t>Prime Healthcare Services-Reno, LLC dba Saint Mary's Regional Medical Center</t>
  </si>
  <si>
    <t>316</t>
  </si>
  <si>
    <t>317</t>
  </si>
  <si>
    <t>318</t>
  </si>
  <si>
    <t>MEI-GSR Holdings LLC</t>
  </si>
  <si>
    <t>319</t>
  </si>
  <si>
    <t>320</t>
  </si>
  <si>
    <t>December 2015</t>
  </si>
  <si>
    <t>TOTAL FIRM</t>
  </si>
  <si>
    <t>TOTAL CAPACITY RELEASE</t>
  </si>
  <si>
    <t>TOTAL INTERRUPTIBLE</t>
  </si>
  <si>
    <t>TOTAL PERIOD</t>
  </si>
  <si>
    <t>ACA revenue</t>
  </si>
  <si>
    <t>F325</t>
  </si>
  <si>
    <t>Schedule I-2</t>
  </si>
  <si>
    <t>Classification of Cost of Service</t>
  </si>
  <si>
    <t>FERC Account No.</t>
  </si>
  <si>
    <t>Fixed</t>
  </si>
  <si>
    <t>Variable</t>
  </si>
  <si>
    <t>Operation:</t>
  </si>
  <si>
    <t xml:space="preserve">Compressor Station Labor and Expenses </t>
  </si>
  <si>
    <t>Other Fuel and Power for Compressor Stations</t>
  </si>
  <si>
    <t xml:space="preserve">Mains Expenses </t>
  </si>
  <si>
    <t>Measuring and Regulating Station Expenses</t>
  </si>
  <si>
    <t>Transmission and Compression of Gas by Others</t>
  </si>
  <si>
    <t>Total Operation</t>
  </si>
  <si>
    <t>Maintenance:</t>
  </si>
  <si>
    <t>Maintenance Supervision and Engineering</t>
  </si>
  <si>
    <t>Maintenance Structures and Improvements</t>
  </si>
  <si>
    <t>Maintenance of Mains</t>
  </si>
  <si>
    <t>Maintenance of Compressor Station Equipment</t>
  </si>
  <si>
    <t>Maintenance of Measuring/Regulating Station Equipment</t>
  </si>
  <si>
    <t>Maintenance of Communication Equipment</t>
  </si>
  <si>
    <t>Maintenance of Other Equipment</t>
  </si>
  <si>
    <t>Total Maintenance</t>
  </si>
  <si>
    <t>Administrative, General and Sales Expenses</t>
  </si>
  <si>
    <t>Depreciation, depletion, and Amortization</t>
  </si>
  <si>
    <t>Taxes:</t>
  </si>
  <si>
    <t xml:space="preserve">   Federal Income Taxes</t>
  </si>
  <si>
    <t xml:space="preserve">   State Income Taxes</t>
  </si>
  <si>
    <t xml:space="preserve">   Taxes Other Than Income</t>
  </si>
  <si>
    <t>Total Transmission Cost of Service</t>
  </si>
  <si>
    <t>Schedule I-3</t>
  </si>
  <si>
    <t>Allocation of Transmission of Cost of Service</t>
  </si>
  <si>
    <t>This schedule is not applicable to Tuscarora. Tuscarora does not allocate costs to other services or rate zones.</t>
  </si>
  <si>
    <t>Schedule I-4</t>
  </si>
  <si>
    <t>Transmission and Compression of Gas by Others (Account No. 858)</t>
  </si>
  <si>
    <t>Not Applicable</t>
  </si>
  <si>
    <t>Schedule I-5</t>
  </si>
  <si>
    <t>Gas Balance</t>
  </si>
  <si>
    <t>Schedule G-3</t>
  </si>
  <si>
    <t>Summary of Billing Determinant Adjustments</t>
  </si>
  <si>
    <t>Schedule G-4</t>
  </si>
  <si>
    <t>At Risk Revenue</t>
  </si>
  <si>
    <t>Schedule G-6</t>
  </si>
  <si>
    <t>Miscellaneous Revenues</t>
  </si>
  <si>
    <t>Total Income Tax</t>
  </si>
  <si>
    <t>Total Accumulated Provision for Depreciation &amp; Amortortization</t>
  </si>
  <si>
    <t>Statement H-1 ADJ</t>
  </si>
  <si>
    <t>Statement H-1 Table</t>
  </si>
  <si>
    <t xml:space="preserve">Adjustment eliminates non recurring FERC fee collected separately via ACA rate surcharge set forth in Section 6.12 of the General Terms and conditions fo the FERC Gas Tariff </t>
  </si>
  <si>
    <t>Allocations are performed according to TransCanada's Operating Cost Allocation Policy.</t>
  </si>
  <si>
    <t>(b) AFUDC Equity amounts expected to be amortized over the average remaining life of plant to FERC account 282.0 and 283.0</t>
  </si>
  <si>
    <t>and construction overheads since the end of the year reported in the last FERC Form No. 2.</t>
  </si>
  <si>
    <t>since the last annual report in the FERC Form No. 2 was filed with the Commission.</t>
  </si>
  <si>
    <t>at 12/31/2015, as adjusted</t>
  </si>
  <si>
    <t>Money, As Adjusted</t>
  </si>
  <si>
    <t>Page 1of 2</t>
  </si>
  <si>
    <t>Type of Unit Ownership</t>
  </si>
  <si>
    <t xml:space="preserve">   Total Income Taxes</t>
  </si>
  <si>
    <t>Variance (line 3 - line 11) /1</t>
  </si>
  <si>
    <t>Stmt J, line 11</t>
  </si>
  <si>
    <t>Delivery - Annual Dth</t>
  </si>
  <si>
    <t xml:space="preserve">State &amp; Federal Income Tax Composite Rate </t>
  </si>
  <si>
    <t>The reconciliation required on this schedule has been submitted as part of the Tuscarora Cost and Revenue Study for the 12-month period ending December 31, 2015 (Base Case Study).</t>
  </si>
  <si>
    <t>This is debt expected to be issued by end of Q2 2016 with expected maturity date after three years.</t>
  </si>
  <si>
    <t>1/</t>
  </si>
  <si>
    <t>2/</t>
  </si>
  <si>
    <t>Refer to Statement F-3</t>
  </si>
  <si>
    <t>Estimated net decrease in equity as a result of distributions in excess of income and taxes settled as a contribution to capital.</t>
  </si>
  <si>
    <t>For the Twelve Months Ended December 31, 2011, As Adjusted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</si>
</sst>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m/d/yy;@"/>
    <numFmt numFmtId="166" formatCode="[$-409]mmmm\ d\,\ yyyy;@"/>
    <numFmt numFmtId="167" formatCode="0.000%"/>
    <numFmt numFmtId="168" formatCode="0.000000%"/>
    <numFmt numFmtId="169" formatCode="yyyy/mm/dd"/>
    <numFmt numFmtId="170" formatCode="#,##0.0000000"/>
    <numFmt numFmtId="171" formatCode="_(* #,##0_);_(* \(#,##0\);_(* &quot;-&quot;??_);_(@_)"/>
    <numFmt numFmtId="172" formatCode="0.0000%"/>
    <numFmt numFmtId="173" formatCode="#,##0.0_);\(#,##0.0\)"/>
    <numFmt numFmtId="174" formatCode="#,##0_);[Red]\(#,##0\);&quot;-  &quot;"/>
    <numFmt numFmtId="175" formatCode="#,##0_)\ \ ;[Red]\(#,##0\)\ \ "/>
    <numFmt numFmtId="176" formatCode="[$-409]m/d/yy\ h:mm\ AM/PM;@"/>
    <numFmt numFmtId="177" formatCode="0.0000000000000000%"/>
    <numFmt numFmtId="178" formatCode="_(&quot;$&quot;* #,##0_);_(&quot;$&quot;* \(#,##0\);_(&quot;$&quot;* &quot;-&quot;??_);_(@_)"/>
    <numFmt numFmtId="179" formatCode="_(&quot;$&quot;* #,##0.0000_);_(&quot;$&quot;* \(#,##0.0000\);_(&quot;$&quot;* &quot;-&quot;??_);_(@_)"/>
    <numFmt numFmtId="180" formatCode="_(* #,##0.000_);_(* \(#,##0.000\);_(* &quot;-&quot;???_);_(@_)"/>
  </numFmts>
  <fonts count="72">
    <font>
      <sz val="10"/>
      <name val="Arial"/>
    </font>
    <font>
      <sz val="11"/>
      <color theme="1"/>
      <name val="Calibri"/>
      <family val="2"/>
      <scheme val="minor"/>
    </font>
    <font>
      <sz val="11"/>
      <color theme="1"/>
      <name val="Calibri"/>
      <family val="2"/>
      <scheme val="minor"/>
    </font>
    <font>
      <sz val="10"/>
      <name val="Arial"/>
      <family val="2"/>
    </font>
    <font>
      <u/>
      <sz val="10"/>
      <name val="Arial"/>
      <family val="2"/>
    </font>
    <font>
      <sz val="8"/>
      <name val="Arial"/>
      <family val="2"/>
    </font>
    <font>
      <sz val="10"/>
      <name val="Arial"/>
      <family val="2"/>
    </font>
    <font>
      <sz val="12"/>
      <name val="Times New Roman"/>
      <family val="1"/>
    </font>
    <font>
      <sz val="9"/>
      <name val="Arial"/>
      <family val="2"/>
    </font>
    <font>
      <sz val="10"/>
      <name val="Times New Roman"/>
      <family val="1"/>
    </font>
    <font>
      <sz val="7"/>
      <name val="Arial"/>
      <family val="2"/>
    </font>
    <font>
      <b/>
      <sz val="10"/>
      <name val="Arial"/>
      <family val="2"/>
    </font>
    <font>
      <b/>
      <u/>
      <sz val="10"/>
      <name val="Arial"/>
      <family val="2"/>
    </font>
    <font>
      <b/>
      <i/>
      <u/>
      <sz val="10"/>
      <name val="Arial"/>
      <family val="2"/>
    </font>
    <font>
      <sz val="10"/>
      <color indexed="10"/>
      <name val="Arial"/>
      <family val="2"/>
    </font>
    <font>
      <b/>
      <sz val="8"/>
      <color indexed="8"/>
      <name val="Arial"/>
      <family val="2"/>
      <charset val="1"/>
    </font>
    <font>
      <sz val="8"/>
      <color indexed="8"/>
      <name val="Arial"/>
      <family val="2"/>
      <charset val="1"/>
    </font>
    <font>
      <u/>
      <sz val="10"/>
      <name val="Arial"/>
      <family val="2"/>
    </font>
    <font>
      <sz val="10"/>
      <color indexed="8"/>
      <name val="Arial"/>
      <family val="2"/>
    </font>
    <font>
      <sz val="10"/>
      <color indexed="17"/>
      <name val="Arial"/>
      <family val="2"/>
    </font>
    <font>
      <b/>
      <sz val="8"/>
      <name val="Arial"/>
      <family val="2"/>
    </font>
    <font>
      <sz val="10"/>
      <name val="Geneva"/>
    </font>
    <font>
      <b/>
      <sz val="10"/>
      <name val="Geneva"/>
      <family val="2"/>
    </font>
    <font>
      <sz val="10"/>
      <name val="Arial"/>
      <family val="2"/>
    </font>
    <font>
      <b/>
      <sz val="10"/>
      <name val="Arial"/>
      <family val="2"/>
    </font>
    <font>
      <sz val="10"/>
      <name val="Arial"/>
      <family val="2"/>
    </font>
    <font>
      <u/>
      <vertAlign val="superscript"/>
      <sz val="10"/>
      <name val="Arial"/>
      <family val="2"/>
    </font>
    <font>
      <vertAlign val="superscript"/>
      <sz val="10"/>
      <name val="Arial"/>
      <family val="2"/>
    </font>
    <font>
      <vertAlign val="superscript"/>
      <sz val="9"/>
      <name val="Arial"/>
      <family val="2"/>
    </font>
    <font>
      <b/>
      <sz val="10"/>
      <name val="Helv"/>
    </font>
    <font>
      <sz val="10"/>
      <name val="Helv"/>
    </font>
    <font>
      <sz val="10"/>
      <color indexed="12"/>
      <name val="Arial"/>
      <family val="2"/>
    </font>
    <font>
      <sz val="8"/>
      <color indexed="81"/>
      <name val="Tahoma"/>
      <family val="2"/>
    </font>
    <font>
      <b/>
      <sz val="8"/>
      <color indexed="81"/>
      <name val="Tahoma"/>
      <family val="2"/>
    </font>
    <font>
      <sz val="8"/>
      <color indexed="12"/>
      <name val="Arial"/>
      <family val="2"/>
    </font>
    <font>
      <sz val="8"/>
      <color indexed="12"/>
      <name val="Arial"/>
      <family val="2"/>
      <charset val="1"/>
    </font>
    <font>
      <sz val="10"/>
      <color indexed="12"/>
      <name val="Arial"/>
      <family val="2"/>
    </font>
    <font>
      <sz val="8"/>
      <color indexed="8"/>
      <name val="Arial"/>
      <family val="2"/>
    </font>
    <font>
      <sz val="9"/>
      <color indexed="10"/>
      <name val="Arial"/>
      <family val="2"/>
    </font>
    <font>
      <b/>
      <sz val="10"/>
      <color indexed="10"/>
      <name val="Arial"/>
      <family val="2"/>
    </font>
    <font>
      <sz val="11"/>
      <name val="Times New Roman"/>
      <family val="1"/>
    </font>
    <font>
      <sz val="11"/>
      <color indexed="18"/>
      <name val="Helvetica"/>
    </font>
    <font>
      <sz val="10"/>
      <name val="Times"/>
    </font>
    <font>
      <b/>
      <sz val="12"/>
      <color indexed="8"/>
      <name val="Helvetica"/>
    </font>
    <font>
      <strike/>
      <sz val="11"/>
      <name val="Helv"/>
    </font>
    <font>
      <sz val="12"/>
      <name val="Helvetica"/>
    </font>
    <font>
      <b/>
      <sz val="11"/>
      <name val="Helvetica"/>
    </font>
    <font>
      <sz val="9"/>
      <name val="Helvetica"/>
    </font>
    <font>
      <sz val="11"/>
      <name val="Helv"/>
      <family val="2"/>
    </font>
    <font>
      <sz val="11"/>
      <color indexed="8"/>
      <name val="Helv"/>
    </font>
    <font>
      <sz val="12"/>
      <color indexed="8"/>
      <name val="Helvetica"/>
    </font>
    <font>
      <sz val="10"/>
      <name val="MS Sans Serif"/>
      <family val="2"/>
    </font>
    <font>
      <sz val="10"/>
      <color rgb="FF0000FF"/>
      <name val="Arial"/>
      <family val="2"/>
    </font>
    <font>
      <sz val="8"/>
      <name val="Arial"/>
      <family val="2"/>
      <charset val="1"/>
    </font>
    <font>
      <sz val="8"/>
      <color rgb="FF000000"/>
      <name val="Segoe UI"/>
      <family val="2"/>
    </font>
    <font>
      <sz val="10"/>
      <color theme="1"/>
      <name val="Arial"/>
      <family val="2"/>
    </font>
    <font>
      <u/>
      <sz val="10"/>
      <name val="Arial"/>
      <family val="2"/>
    </font>
    <font>
      <sz val="9"/>
      <color rgb="FFFF0000"/>
      <name val="Arial"/>
      <family val="2"/>
    </font>
    <font>
      <sz val="10"/>
      <name val="Arial"/>
      <family val="2"/>
    </font>
    <font>
      <b/>
      <sz val="11"/>
      <color theme="1"/>
      <name val="Calibri"/>
      <family val="2"/>
      <scheme val="minor"/>
    </font>
    <font>
      <sz val="11"/>
      <name val="Calibri"/>
      <family val="2"/>
      <scheme val="minor"/>
    </font>
    <font>
      <b/>
      <u/>
      <sz val="11"/>
      <name val="Calibri"/>
      <family val="2"/>
      <scheme val="minor"/>
    </font>
    <font>
      <sz val="11"/>
      <color indexed="8"/>
      <name val="Calibri"/>
      <family val="2"/>
      <scheme val="minor"/>
    </font>
    <font>
      <b/>
      <sz val="11"/>
      <color indexed="8"/>
      <name val="Calibri"/>
      <family val="2"/>
      <scheme val="minor"/>
    </font>
    <font>
      <b/>
      <sz val="11"/>
      <name val="Calibri"/>
      <family val="2"/>
      <scheme val="minor"/>
    </font>
    <font>
      <sz val="11"/>
      <color theme="1"/>
      <name val="Calibri"/>
      <family val="2"/>
    </font>
    <font>
      <sz val="11"/>
      <name val="Calibri"/>
      <family val="2"/>
    </font>
    <font>
      <b/>
      <u/>
      <sz val="11"/>
      <name val="Calibri"/>
      <family val="2"/>
    </font>
    <font>
      <sz val="11"/>
      <color indexed="8"/>
      <name val="Calibri"/>
      <family val="2"/>
    </font>
    <font>
      <b/>
      <sz val="11"/>
      <color theme="1"/>
      <name val="Calibri"/>
      <family val="2"/>
    </font>
    <font>
      <b/>
      <sz val="11"/>
      <color indexed="8"/>
      <name val="Calibri"/>
      <family val="2"/>
    </font>
    <font>
      <b/>
      <sz val="11"/>
      <name val="Calibri"/>
      <family val="2"/>
    </font>
  </fonts>
  <fills count="11">
    <fill>
      <patternFill patternType="none"/>
    </fill>
    <fill>
      <patternFill patternType="gray125"/>
    </fill>
    <fill>
      <patternFill patternType="solid">
        <fgColor indexed="13"/>
        <bgColor indexed="64"/>
      </patternFill>
    </fill>
    <fill>
      <patternFill patternType="solid">
        <fgColor indexed="9"/>
        <bgColor indexed="8"/>
      </patternFill>
    </fill>
    <fill>
      <patternFill patternType="solid">
        <fgColor indexed="17"/>
        <bgColor indexed="64"/>
      </patternFill>
    </fill>
    <fill>
      <patternFill patternType="solid">
        <fgColor indexed="10"/>
        <bgColor indexed="64"/>
      </patternFill>
    </fill>
    <fill>
      <patternFill patternType="solid">
        <fgColor indexed="47"/>
        <bgColor indexed="64"/>
      </patternFill>
    </fill>
    <fill>
      <patternFill patternType="solid">
        <fgColor indexed="45"/>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4">
    <border>
      <left/>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s>
  <cellStyleXfs count="415">
    <xf numFmtId="0" fontId="0" fillId="0" borderId="0"/>
    <xf numFmtId="174" fontId="40" fillId="0" borderId="0"/>
    <xf numFmtId="175" fontId="7" fillId="0" borderId="0"/>
    <xf numFmtId="0" fontId="41" fillId="0" borderId="0" applyNumberFormat="0" applyFont="0" applyBorder="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0" fontId="11" fillId="0" borderId="1">
      <alignment horizontal="center"/>
    </xf>
    <xf numFmtId="8" fontId="21" fillId="0" borderId="0" applyFont="0" applyFill="0" applyBorder="0" applyAlignment="0" applyProtection="0"/>
    <xf numFmtId="37" fontId="42" fillId="0" borderId="0" applyFill="0" applyBorder="0" applyAlignment="0"/>
    <xf numFmtId="173" fontId="42" fillId="0" borderId="0" applyFill="0" applyBorder="0" applyAlignment="0"/>
    <xf numFmtId="0" fontId="43" fillId="0" borderId="0" applyNumberFormat="0" applyFont="0"/>
    <xf numFmtId="44" fontId="3" fillId="0" borderId="0" applyFont="0" applyFill="0" applyBorder="0" applyAlignment="0" applyProtection="0"/>
    <xf numFmtId="0" fontId="3" fillId="0" borderId="0"/>
    <xf numFmtId="0" fontId="3" fillId="0" borderId="0"/>
    <xf numFmtId="0" fontId="21" fillId="0" borderId="0"/>
    <xf numFmtId="0" fontId="3" fillId="0" borderId="0"/>
    <xf numFmtId="9" fontId="3" fillId="0" borderId="0" applyFont="0" applyFill="0" applyBorder="0" applyAlignment="0" applyProtection="0"/>
    <xf numFmtId="9" fontId="6" fillId="0" borderId="0" applyFont="0" applyFill="0" applyBorder="0" applyAlignment="0" applyProtection="0"/>
    <xf numFmtId="0" fontId="51" fillId="0" borderId="0" applyNumberFormat="0" applyFont="0" applyFill="0" applyBorder="0" applyAlignment="0" applyProtection="0">
      <alignment horizontal="left"/>
    </xf>
    <xf numFmtId="4" fontId="51" fillId="0" borderId="0" applyFont="0" applyFill="0" applyBorder="0" applyAlignment="0" applyProtection="0"/>
    <xf numFmtId="3" fontId="51" fillId="0" borderId="0" applyFont="0" applyFill="0" applyBorder="0" applyAlignment="0" applyProtection="0"/>
    <xf numFmtId="0" fontId="44" fillId="0" borderId="0" applyNumberFormat="0" applyFont="0" applyBorder="0">
      <alignment vertical="top" wrapText="1"/>
    </xf>
    <xf numFmtId="0" fontId="45" fillId="0" borderId="0" applyNumberFormat="0" applyFont="0" applyBorder="0">
      <alignment vertical="top" wrapText="1"/>
    </xf>
    <xf numFmtId="0" fontId="46" fillId="0" borderId="0" applyNumberFormat="0" applyFont="0">
      <alignment vertical="top" wrapText="1"/>
    </xf>
    <xf numFmtId="0" fontId="47" fillId="0" borderId="0" applyNumberFormat="0" applyFont="0" applyBorder="0" applyAlignment="0">
      <alignment vertical="top"/>
    </xf>
    <xf numFmtId="0" fontId="48" fillId="0" borderId="0" applyNumberFormat="0" applyBorder="0">
      <alignment vertical="top" wrapText="1"/>
    </xf>
    <xf numFmtId="0" fontId="49" fillId="0" borderId="0">
      <alignment vertical="top" wrapText="1"/>
    </xf>
    <xf numFmtId="0" fontId="50" fillId="0" borderId="0" applyNumberFormat="0" applyAlignment="0"/>
    <xf numFmtId="0" fontId="21" fillId="0" borderId="0">
      <alignment wrapText="1"/>
    </xf>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0" fontId="18" fillId="0" borderId="0"/>
    <xf numFmtId="9" fontId="1" fillId="0" borderId="0" applyFont="0" applyFill="0" applyBorder="0" applyAlignment="0" applyProtection="0"/>
    <xf numFmtId="44"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955">
    <xf numFmtId="0" fontId="0" fillId="0" borderId="0" xfId="0"/>
    <xf numFmtId="0" fontId="4" fillId="0" borderId="0" xfId="0" applyFont="1"/>
    <xf numFmtId="0" fontId="0" fillId="0" borderId="0" xfId="0" applyAlignment="1">
      <alignment horizontal="center"/>
    </xf>
    <xf numFmtId="0" fontId="4" fillId="0" borderId="0" xfId="0" applyFont="1" applyAlignment="1">
      <alignment horizontal="center"/>
    </xf>
    <xf numFmtId="0" fontId="0" fillId="0" borderId="0" xfId="0" applyAlignment="1">
      <alignment horizontal="left"/>
    </xf>
    <xf numFmtId="3" fontId="0" fillId="0" borderId="0" xfId="0" applyNumberFormat="1"/>
    <xf numFmtId="3" fontId="0" fillId="0" borderId="2" xfId="0" applyNumberFormat="1" applyBorder="1"/>
    <xf numFmtId="0" fontId="3" fillId="0" borderId="0" xfId="0" applyFont="1" applyBorder="1"/>
    <xf numFmtId="0" fontId="3" fillId="0" borderId="3" xfId="0" applyFont="1" applyBorder="1"/>
    <xf numFmtId="0" fontId="0" fillId="0" borderId="0" xfId="0" applyAlignment="1"/>
    <xf numFmtId="0" fontId="0" fillId="0" borderId="0" xfId="0" applyAlignment="1">
      <alignment horizontal="right"/>
    </xf>
    <xf numFmtId="0" fontId="0" fillId="2" borderId="0" xfId="0" applyFill="1"/>
    <xf numFmtId="3" fontId="0" fillId="0" borderId="0" xfId="0" applyNumberFormat="1" applyBorder="1"/>
    <xf numFmtId="17" fontId="0" fillId="0" borderId="0" xfId="0" applyNumberFormat="1" applyAlignment="1">
      <alignment horizontal="left"/>
    </xf>
    <xf numFmtId="164" fontId="0" fillId="0" borderId="0" xfId="0" applyNumberFormat="1" applyAlignment="1">
      <alignment horizontal="center"/>
    </xf>
    <xf numFmtId="164" fontId="4" fillId="0" borderId="0" xfId="0" applyNumberFormat="1" applyFont="1" applyAlignment="1">
      <alignment horizontal="center"/>
    </xf>
    <xf numFmtId="164" fontId="0" fillId="0" borderId="0" xfId="0" applyNumberFormat="1"/>
    <xf numFmtId="15" fontId="4" fillId="0" borderId="0" xfId="0" applyNumberFormat="1" applyFont="1" applyAlignment="1">
      <alignment horizontal="center"/>
    </xf>
    <xf numFmtId="0" fontId="6" fillId="0" borderId="0" xfId="16" applyFont="1" applyAlignment="1">
      <alignment horizontal="right"/>
    </xf>
    <xf numFmtId="0" fontId="6" fillId="0" borderId="0" xfId="0" applyFont="1"/>
    <xf numFmtId="0" fontId="6" fillId="0" borderId="0" xfId="0" applyFont="1" applyFill="1"/>
    <xf numFmtId="0" fontId="6" fillId="0" borderId="0" xfId="16" applyFont="1" applyFill="1"/>
    <xf numFmtId="15" fontId="0" fillId="2" borderId="0" xfId="0" applyNumberFormat="1" applyFill="1"/>
    <xf numFmtId="3" fontId="0" fillId="0" borderId="0" xfId="0" applyNumberFormat="1" applyAlignment="1">
      <alignment horizontal="center"/>
    </xf>
    <xf numFmtId="0" fontId="8" fillId="0" borderId="0" xfId="0" applyFont="1"/>
    <xf numFmtId="0" fontId="7" fillId="0" borderId="0" xfId="0" applyFont="1"/>
    <xf numFmtId="14" fontId="0" fillId="2" borderId="0" xfId="0" applyNumberFormat="1" applyFill="1" applyAlignment="1">
      <alignment horizontal="left"/>
    </xf>
    <xf numFmtId="166" fontId="4" fillId="0" borderId="0" xfId="0" quotePrefix="1" applyNumberFormat="1" applyFont="1" applyAlignment="1">
      <alignment horizontal="center"/>
    </xf>
    <xf numFmtId="0" fontId="9" fillId="0" borderId="0" xfId="0" applyFont="1"/>
    <xf numFmtId="10" fontId="0" fillId="0" borderId="0" xfId="0" applyNumberFormat="1"/>
    <xf numFmtId="10" fontId="9" fillId="0" borderId="0" xfId="0" applyNumberFormat="1" applyFont="1"/>
    <xf numFmtId="0" fontId="10" fillId="0" borderId="0" xfId="0" applyFont="1"/>
    <xf numFmtId="10" fontId="6" fillId="0" borderId="0" xfId="0" applyNumberFormat="1" applyFont="1"/>
    <xf numFmtId="166" fontId="4" fillId="0" borderId="0" xfId="0" applyNumberFormat="1" applyFont="1" applyAlignment="1">
      <alignment horizontal="center"/>
    </xf>
    <xf numFmtId="3" fontId="0" fillId="0" borderId="2" xfId="0" applyNumberFormat="1" applyBorder="1" applyAlignment="1"/>
    <xf numFmtId="3" fontId="0" fillId="0" borderId="0" xfId="0" applyNumberFormat="1" applyAlignment="1"/>
    <xf numFmtId="166" fontId="0" fillId="0" borderId="0" xfId="0" applyNumberFormat="1" applyAlignment="1">
      <alignment horizontal="center"/>
    </xf>
    <xf numFmtId="0" fontId="8" fillId="0" borderId="3" xfId="0" applyFont="1" applyBorder="1"/>
    <xf numFmtId="10" fontId="0" fillId="0" borderId="2" xfId="0" applyNumberFormat="1" applyBorder="1"/>
    <xf numFmtId="167" fontId="0" fillId="0" borderId="0" xfId="0" applyNumberFormat="1"/>
    <xf numFmtId="167" fontId="0" fillId="0" borderId="2" xfId="0" applyNumberFormat="1" applyBorder="1"/>
    <xf numFmtId="165" fontId="0" fillId="0" borderId="0" xfId="0" applyNumberFormat="1"/>
    <xf numFmtId="0" fontId="11" fillId="0" borderId="0" xfId="0" applyFont="1"/>
    <xf numFmtId="15" fontId="0" fillId="0" borderId="0" xfId="0" applyNumberFormat="1" applyAlignment="1">
      <alignment horizontal="center"/>
    </xf>
    <xf numFmtId="1" fontId="0" fillId="0" borderId="0" xfId="0" applyNumberFormat="1" applyAlignment="1">
      <alignment horizontal="center"/>
    </xf>
    <xf numFmtId="1" fontId="0" fillId="0" borderId="0" xfId="0" applyNumberFormat="1"/>
    <xf numFmtId="3" fontId="0" fillId="0" borderId="0" xfId="0" applyNumberFormat="1" applyBorder="1" applyAlignment="1"/>
    <xf numFmtId="10" fontId="0" fillId="0" borderId="0" xfId="0" applyNumberFormat="1" applyAlignment="1">
      <alignment horizontal="center"/>
    </xf>
    <xf numFmtId="10" fontId="0" fillId="0" borderId="0" xfId="0" applyNumberFormat="1" applyAlignment="1"/>
    <xf numFmtId="0" fontId="0" fillId="0" borderId="3" xfId="0" applyBorder="1" applyAlignment="1">
      <alignment horizontal="center"/>
    </xf>
    <xf numFmtId="0" fontId="0" fillId="0" borderId="0" xfId="0" applyBorder="1" applyAlignment="1">
      <alignment horizontal="center"/>
    </xf>
    <xf numFmtId="0" fontId="12" fillId="0" borderId="0" xfId="0" applyFont="1"/>
    <xf numFmtId="10" fontId="0" fillId="2" borderId="0" xfId="0" applyNumberFormat="1" applyFill="1"/>
    <xf numFmtId="10" fontId="0" fillId="0" borderId="0" xfId="0" applyNumberFormat="1" applyBorder="1" applyAlignment="1"/>
    <xf numFmtId="164" fontId="0" fillId="0" borderId="0" xfId="0" applyNumberFormat="1" applyAlignment="1"/>
    <xf numFmtId="3" fontId="4" fillId="0" borderId="0" xfId="0" quotePrefix="1" applyNumberFormat="1" applyFont="1" applyAlignment="1"/>
    <xf numFmtId="164" fontId="11" fillId="0" borderId="0" xfId="0" applyNumberFormat="1" applyFont="1" applyAlignment="1"/>
    <xf numFmtId="164" fontId="12" fillId="0" borderId="0" xfId="0" applyNumberFormat="1" applyFont="1" applyAlignment="1"/>
    <xf numFmtId="3" fontId="0" fillId="0" borderId="0" xfId="0" applyNumberFormat="1" applyBorder="1" applyAlignment="1">
      <alignment horizontal="center"/>
    </xf>
    <xf numFmtId="3" fontId="0" fillId="0" borderId="3" xfId="0" applyNumberFormat="1" applyBorder="1" applyAlignment="1">
      <alignment horizontal="center"/>
    </xf>
    <xf numFmtId="3" fontId="4" fillId="0" borderId="0" xfId="0" applyNumberFormat="1" applyFont="1" applyBorder="1" applyAlignment="1">
      <alignment horizontal="center"/>
    </xf>
    <xf numFmtId="0" fontId="12" fillId="0" borderId="0" xfId="0" applyFont="1" applyBorder="1"/>
    <xf numFmtId="0" fontId="6" fillId="0" borderId="0" xfId="0" applyFont="1" applyBorder="1"/>
    <xf numFmtId="0" fontId="0" fillId="0" borderId="0" xfId="0" applyFont="1" applyAlignment="1"/>
    <xf numFmtId="0" fontId="12" fillId="2" borderId="0" xfId="0" applyFont="1" applyFill="1"/>
    <xf numFmtId="0" fontId="13" fillId="0" borderId="0" xfId="0" applyFont="1"/>
    <xf numFmtId="3" fontId="14" fillId="0" borderId="0" xfId="0" applyNumberFormat="1" applyFont="1"/>
    <xf numFmtId="0" fontId="9" fillId="0" borderId="0" xfId="0" applyFont="1" applyFill="1"/>
    <xf numFmtId="41" fontId="0" fillId="0" borderId="0" xfId="0" applyNumberFormat="1"/>
    <xf numFmtId="41" fontId="0" fillId="0" borderId="2" xfId="0" applyNumberFormat="1" applyBorder="1"/>
    <xf numFmtId="41" fontId="0" fillId="0" borderId="0" xfId="0" applyNumberFormat="1" applyAlignment="1">
      <alignment horizontal="center"/>
    </xf>
    <xf numFmtId="41" fontId="0" fillId="0" borderId="2" xfId="0" applyNumberFormat="1" applyBorder="1" applyAlignment="1"/>
    <xf numFmtId="0" fontId="0" fillId="0" borderId="0" xfId="0" applyFill="1"/>
    <xf numFmtId="0" fontId="0" fillId="0" borderId="0" xfId="0" applyBorder="1"/>
    <xf numFmtId="164" fontId="6" fillId="0" borderId="0" xfId="0" applyNumberFormat="1" applyFont="1"/>
    <xf numFmtId="3" fontId="6" fillId="0" borderId="0" xfId="0" applyNumberFormat="1" applyFont="1"/>
    <xf numFmtId="0" fontId="8" fillId="0" borderId="0" xfId="0" applyFont="1" applyBorder="1"/>
    <xf numFmtId="164" fontId="0" fillId="2" borderId="0" xfId="0" applyNumberFormat="1" applyFill="1" applyAlignment="1">
      <alignment horizontal="center"/>
    </xf>
    <xf numFmtId="41" fontId="0" fillId="0" borderId="0" xfId="0" applyNumberFormat="1" applyAlignment="1"/>
    <xf numFmtId="0" fontId="3" fillId="0" borderId="0" xfId="14" applyFont="1" applyBorder="1"/>
    <xf numFmtId="3" fontId="3" fillId="0" borderId="2" xfId="14" applyNumberFormat="1" applyBorder="1"/>
    <xf numFmtId="164" fontId="3" fillId="0" borderId="0" xfId="14" applyNumberFormat="1"/>
    <xf numFmtId="0" fontId="3" fillId="0" borderId="0" xfId="14"/>
    <xf numFmtId="3" fontId="6" fillId="0" borderId="0" xfId="5" applyNumberFormat="1" applyFont="1"/>
    <xf numFmtId="3" fontId="3" fillId="0" borderId="0" xfId="14" applyNumberFormat="1"/>
    <xf numFmtId="43" fontId="6" fillId="0" borderId="0" xfId="5" applyFont="1"/>
    <xf numFmtId="0" fontId="3" fillId="0" borderId="0" xfId="14" applyAlignment="1">
      <alignment horizontal="center"/>
    </xf>
    <xf numFmtId="164" fontId="3" fillId="0" borderId="0" xfId="14" applyNumberFormat="1" applyAlignment="1">
      <alignment horizontal="center"/>
    </xf>
    <xf numFmtId="0" fontId="4" fillId="0" borderId="0" xfId="14" applyFont="1"/>
    <xf numFmtId="0" fontId="4" fillId="0" borderId="0" xfId="14" applyFont="1" applyAlignment="1">
      <alignment horizontal="center"/>
    </xf>
    <xf numFmtId="164" fontId="4" fillId="0" borderId="0" xfId="14" applyNumberFormat="1" applyFont="1" applyAlignment="1">
      <alignment horizontal="center"/>
    </xf>
    <xf numFmtId="166" fontId="4" fillId="0" borderId="0" xfId="14" quotePrefix="1" applyNumberFormat="1" applyFont="1" applyAlignment="1">
      <alignment horizontal="center"/>
    </xf>
    <xf numFmtId="3" fontId="3" fillId="0" borderId="0" xfId="14" applyNumberFormat="1" applyBorder="1"/>
    <xf numFmtId="0" fontId="3" fillId="0" borderId="0" xfId="14" applyAlignment="1">
      <alignment horizontal="left"/>
    </xf>
    <xf numFmtId="0" fontId="3" fillId="0" borderId="0" xfId="14" applyFont="1" applyAlignment="1">
      <alignment horizontal="center"/>
    </xf>
    <xf numFmtId="0" fontId="15" fillId="0" borderId="0" xfId="0" applyFont="1" applyFill="1" applyAlignment="1" applyProtection="1">
      <alignment horizontal="left" vertical="top"/>
      <protection locked="0"/>
    </xf>
    <xf numFmtId="0" fontId="16" fillId="0" borderId="0" xfId="0" applyFont="1" applyFill="1" applyAlignment="1" applyProtection="1">
      <alignment horizontal="left" vertical="top"/>
      <protection locked="0"/>
    </xf>
    <xf numFmtId="0" fontId="16" fillId="0" borderId="0" xfId="0" applyFont="1" applyFill="1" applyBorder="1" applyAlignment="1" applyProtection="1">
      <alignment horizontal="left" vertical="top"/>
      <protection locked="0"/>
    </xf>
    <xf numFmtId="17" fontId="0" fillId="0" borderId="0" xfId="0" applyNumberFormat="1" applyAlignment="1">
      <alignment horizontal="center"/>
    </xf>
    <xf numFmtId="0" fontId="15" fillId="0" borderId="0" xfId="0" applyFont="1" applyFill="1" applyBorder="1" applyAlignment="1" applyProtection="1">
      <alignment horizontal="left" vertical="top"/>
      <protection locked="0"/>
    </xf>
    <xf numFmtId="0" fontId="4" fillId="0" borderId="0" xfId="0" applyFont="1" applyBorder="1"/>
    <xf numFmtId="10" fontId="0" fillId="0" borderId="0" xfId="0" applyNumberFormat="1" applyBorder="1"/>
    <xf numFmtId="0" fontId="3" fillId="0" borderId="0" xfId="14" applyFont="1" applyFill="1" applyAlignment="1">
      <alignment horizontal="center"/>
    </xf>
    <xf numFmtId="0" fontId="12" fillId="0" borderId="0" xfId="14" applyFont="1"/>
    <xf numFmtId="0" fontId="3" fillId="0" borderId="0" xfId="14" applyFont="1"/>
    <xf numFmtId="164" fontId="3" fillId="0" borderId="0" xfId="14" quotePrefix="1" applyNumberFormat="1" applyAlignment="1">
      <alignment horizontal="right"/>
    </xf>
    <xf numFmtId="41" fontId="0" fillId="0" borderId="0" xfId="0" applyNumberFormat="1" applyFill="1"/>
    <xf numFmtId="43" fontId="0" fillId="0" borderId="0" xfId="0" applyNumberFormat="1"/>
    <xf numFmtId="41" fontId="3" fillId="0" borderId="0" xfId="14" applyNumberFormat="1"/>
    <xf numFmtId="41" fontId="3" fillId="0" borderId="2" xfId="14" applyNumberFormat="1" applyBorder="1"/>
    <xf numFmtId="41" fontId="3" fillId="0" borderId="0" xfId="14" applyNumberFormat="1" applyBorder="1"/>
    <xf numFmtId="0" fontId="3" fillId="0" borderId="0" xfId="14" applyBorder="1"/>
    <xf numFmtId="3" fontId="3" fillId="0" borderId="0" xfId="14" applyNumberFormat="1" applyFont="1"/>
    <xf numFmtId="0" fontId="11" fillId="0" borderId="0" xfId="14" applyFont="1"/>
    <xf numFmtId="41" fontId="3" fillId="0" borderId="0" xfId="14" applyNumberFormat="1" applyFont="1"/>
    <xf numFmtId="15" fontId="4" fillId="0" borderId="0" xfId="14" applyNumberFormat="1" applyFont="1" applyAlignment="1">
      <alignment horizontal="center"/>
    </xf>
    <xf numFmtId="0" fontId="5" fillId="0" borderId="0" xfId="14" applyFont="1"/>
    <xf numFmtId="3" fontId="11" fillId="0" borderId="0" xfId="14" applyNumberFormat="1" applyFont="1"/>
    <xf numFmtId="0" fontId="11" fillId="0" borderId="0" xfId="0" applyFont="1" applyBorder="1"/>
    <xf numFmtId="3" fontId="3" fillId="0" borderId="0" xfId="14" applyNumberFormat="1" applyFont="1" applyAlignment="1"/>
    <xf numFmtId="167" fontId="3" fillId="0" borderId="0" xfId="14" applyNumberFormat="1" applyFont="1" applyAlignment="1"/>
    <xf numFmtId="0" fontId="6" fillId="0" borderId="0" xfId="14" applyFont="1"/>
    <xf numFmtId="3" fontId="11" fillId="0" borderId="0" xfId="14" applyNumberFormat="1" applyFont="1" applyAlignment="1"/>
    <xf numFmtId="3" fontId="5" fillId="0" borderId="0" xfId="14" applyNumberFormat="1" applyFont="1" applyAlignment="1"/>
    <xf numFmtId="167" fontId="5" fillId="0" borderId="0" xfId="14" applyNumberFormat="1" applyFont="1" applyAlignment="1"/>
    <xf numFmtId="0" fontId="4" fillId="0" borderId="0" xfId="0" applyFont="1" applyBorder="1" applyAlignment="1">
      <alignment horizontal="center"/>
    </xf>
    <xf numFmtId="10" fontId="3" fillId="0" borderId="0" xfId="14" applyNumberFormat="1"/>
    <xf numFmtId="41" fontId="0" fillId="0" borderId="0" xfId="0" applyNumberFormat="1" applyBorder="1"/>
    <xf numFmtId="41" fontId="0" fillId="0" borderId="0" xfId="0" applyNumberFormat="1" applyBorder="1" applyAlignment="1"/>
    <xf numFmtId="3" fontId="0" fillId="0" borderId="0" xfId="0" applyNumberFormat="1" applyFill="1"/>
    <xf numFmtId="0" fontId="11" fillId="0" borderId="0" xfId="0" applyFont="1" applyFill="1"/>
    <xf numFmtId="0" fontId="6" fillId="0" borderId="0" xfId="0" applyFont="1" applyFill="1" applyBorder="1"/>
    <xf numFmtId="0" fontId="0" fillId="0" borderId="0" xfId="0" applyFill="1" applyAlignment="1">
      <alignment horizontal="center"/>
    </xf>
    <xf numFmtId="41" fontId="0" fillId="0" borderId="0" xfId="0" applyNumberFormat="1" applyBorder="1" applyAlignment="1">
      <alignment horizontal="center"/>
    </xf>
    <xf numFmtId="164" fontId="0" fillId="0" borderId="0" xfId="0" applyNumberFormat="1" applyBorder="1" applyAlignment="1">
      <alignment horizontal="center"/>
    </xf>
    <xf numFmtId="0" fontId="3" fillId="0" borderId="0" xfId="0" applyFont="1" applyFill="1" applyBorder="1" applyAlignment="1" applyProtection="1">
      <alignment horizontal="left" vertical="top"/>
      <protection locked="0"/>
    </xf>
    <xf numFmtId="0" fontId="18" fillId="3" borderId="0" xfId="0" applyFont="1" applyFill="1" applyBorder="1" applyAlignment="1" applyProtection="1">
      <alignment horizontal="left" vertical="top"/>
      <protection locked="0"/>
    </xf>
    <xf numFmtId="41" fontId="0" fillId="0" borderId="2" xfId="0" applyNumberFormat="1" applyBorder="1" applyAlignment="1">
      <alignment horizontal="center"/>
    </xf>
    <xf numFmtId="0" fontId="6" fillId="0" borderId="0" xfId="0" applyFont="1" applyFill="1" applyBorder="1" applyAlignment="1" applyProtection="1">
      <alignment horizontal="left" vertical="top"/>
      <protection locked="0"/>
    </xf>
    <xf numFmtId="0" fontId="3" fillId="0" borderId="0" xfId="0" applyFont="1" applyFill="1"/>
    <xf numFmtId="164" fontId="4" fillId="0" borderId="0" xfId="0" applyNumberFormat="1" applyFont="1" applyBorder="1" applyAlignment="1">
      <alignment horizontal="center"/>
    </xf>
    <xf numFmtId="3" fontId="0" fillId="0" borderId="0" xfId="0" quotePrefix="1" applyNumberFormat="1" applyBorder="1" applyAlignment="1"/>
    <xf numFmtId="0" fontId="0" fillId="0" borderId="0" xfId="0" quotePrefix="1"/>
    <xf numFmtId="10" fontId="11" fillId="0" borderId="0" xfId="0" applyNumberFormat="1" applyFont="1"/>
    <xf numFmtId="41" fontId="0" fillId="0" borderId="6" xfId="0" applyNumberFormat="1" applyBorder="1"/>
    <xf numFmtId="41" fontId="0" fillId="0" borderId="3" xfId="0" applyNumberFormat="1" applyBorder="1"/>
    <xf numFmtId="0" fontId="11" fillId="0" borderId="0" xfId="0" quotePrefix="1" applyFont="1"/>
    <xf numFmtId="41" fontId="0" fillId="0" borderId="7" xfId="0" applyNumberFormat="1" applyBorder="1"/>
    <xf numFmtId="168" fontId="0" fillId="0" borderId="0" xfId="0" applyNumberFormat="1"/>
    <xf numFmtId="0" fontId="4" fillId="0" borderId="0" xfId="0" applyFont="1" applyFill="1" applyAlignment="1">
      <alignment horizontal="center"/>
    </xf>
    <xf numFmtId="41" fontId="0" fillId="0" borderId="2" xfId="0" applyNumberFormat="1" applyFill="1" applyBorder="1"/>
    <xf numFmtId="0" fontId="0" fillId="0" borderId="0" xfId="0" applyProtection="1">
      <protection locked="0"/>
    </xf>
    <xf numFmtId="0" fontId="6" fillId="0" borderId="0" xfId="0" applyFont="1" applyFill="1" applyProtection="1">
      <protection locked="0"/>
    </xf>
    <xf numFmtId="39" fontId="0" fillId="0" borderId="0" xfId="0" applyNumberFormat="1" applyProtection="1">
      <protection locked="0"/>
    </xf>
    <xf numFmtId="37" fontId="11" fillId="0" borderId="0" xfId="14" applyNumberFormat="1" applyFont="1" applyBorder="1"/>
    <xf numFmtId="167" fontId="3" fillId="0" borderId="0" xfId="17" applyNumberFormat="1"/>
    <xf numFmtId="0" fontId="6" fillId="0" borderId="0" xfId="14" applyFont="1" applyBorder="1"/>
    <xf numFmtId="167" fontId="6" fillId="0" borderId="0" xfId="17" applyNumberFormat="1" applyFont="1" applyBorder="1" applyAlignment="1">
      <alignment horizontal="center"/>
    </xf>
    <xf numFmtId="10" fontId="6" fillId="0" borderId="0" xfId="14" applyNumberFormat="1" applyFont="1" applyBorder="1" applyAlignment="1">
      <alignment horizontal="center"/>
    </xf>
    <xf numFmtId="0" fontId="6" fillId="0" borderId="0" xfId="0" applyFont="1" applyAlignment="1">
      <alignment horizontal="center"/>
    </xf>
    <xf numFmtId="39" fontId="0" fillId="0" borderId="0" xfId="0" applyNumberFormat="1"/>
    <xf numFmtId="37" fontId="3" fillId="0" borderId="0" xfId="14" applyNumberFormat="1" applyFont="1"/>
    <xf numFmtId="3" fontId="11" fillId="0" borderId="0" xfId="14" applyNumberFormat="1" applyFont="1" applyBorder="1"/>
    <xf numFmtId="164" fontId="3" fillId="0" borderId="0" xfId="14" applyNumberFormat="1" applyFont="1"/>
    <xf numFmtId="169" fontId="3" fillId="0" borderId="0" xfId="0" applyNumberFormat="1" applyFont="1" applyFill="1" applyBorder="1" applyAlignment="1" applyProtection="1">
      <alignment horizontal="center"/>
      <protection locked="0"/>
    </xf>
    <xf numFmtId="0" fontId="3" fillId="0" borderId="0" xfId="0" applyFont="1" applyBorder="1" applyAlignment="1">
      <alignment horizontal="left"/>
    </xf>
    <xf numFmtId="166" fontId="4" fillId="0" borderId="0" xfId="14" applyNumberFormat="1" applyFont="1" applyAlignment="1">
      <alignment horizontal="center"/>
    </xf>
    <xf numFmtId="3" fontId="3" fillId="0" borderId="0" xfId="14" applyNumberFormat="1" applyAlignment="1">
      <alignment horizontal="center"/>
    </xf>
    <xf numFmtId="0" fontId="3" fillId="0" borderId="0" xfId="14" applyFill="1" applyAlignment="1">
      <alignment horizontal="center"/>
    </xf>
    <xf numFmtId="0" fontId="4" fillId="0" borderId="0" xfId="14" applyFont="1" applyFill="1" applyAlignment="1">
      <alignment horizontal="center"/>
    </xf>
    <xf numFmtId="164" fontId="3" fillId="0" borderId="0" xfId="14" applyNumberFormat="1" applyFont="1" applyAlignment="1">
      <alignment horizontal="center"/>
    </xf>
    <xf numFmtId="0" fontId="3" fillId="0" borderId="0" xfId="14" applyFill="1"/>
    <xf numFmtId="37" fontId="3" fillId="0" borderId="0" xfId="14" applyNumberFormat="1" applyFill="1"/>
    <xf numFmtId="0" fontId="3" fillId="0" borderId="0" xfId="0" applyFont="1" applyBorder="1" applyProtection="1">
      <protection locked="0"/>
    </xf>
    <xf numFmtId="0" fontId="3" fillId="0" borderId="0" xfId="14" applyAlignment="1">
      <alignment horizontal="right"/>
    </xf>
    <xf numFmtId="0" fontId="6" fillId="0" borderId="0" xfId="0" applyFont="1" applyBorder="1" applyAlignment="1" applyProtection="1">
      <alignment horizontal="left"/>
      <protection locked="0"/>
    </xf>
    <xf numFmtId="164" fontId="3" fillId="0" borderId="0" xfId="14" applyNumberFormat="1" applyAlignment="1">
      <alignment horizontal="right"/>
    </xf>
    <xf numFmtId="39" fontId="3" fillId="0" borderId="0" xfId="14" applyNumberFormat="1" applyAlignment="1">
      <alignment horizontal="right"/>
    </xf>
    <xf numFmtId="0" fontId="3" fillId="0" borderId="0" xfId="14" applyFont="1" applyFill="1"/>
    <xf numFmtId="3" fontId="6" fillId="0" borderId="0" xfId="15" applyNumberFormat="1" applyFont="1" applyProtection="1">
      <protection locked="0"/>
    </xf>
    <xf numFmtId="3" fontId="3" fillId="0" borderId="0" xfId="14" applyNumberFormat="1" applyFill="1"/>
    <xf numFmtId="0" fontId="21" fillId="0" borderId="0" xfId="15"/>
    <xf numFmtId="0" fontId="22" fillId="0" borderId="0" xfId="15" applyFont="1"/>
    <xf numFmtId="3" fontId="6" fillId="0" borderId="0" xfId="5" applyNumberFormat="1" applyFont="1" applyBorder="1"/>
    <xf numFmtId="43" fontId="6" fillId="0" borderId="0" xfId="5" applyFont="1" applyBorder="1"/>
    <xf numFmtId="0" fontId="21" fillId="0" borderId="0" xfId="15" applyFill="1"/>
    <xf numFmtId="167" fontId="0" fillId="0" borderId="0" xfId="0" applyNumberFormat="1" applyBorder="1"/>
    <xf numFmtId="0" fontId="3" fillId="0" borderId="0" xfId="0" applyFont="1" applyAlignment="1">
      <alignment horizontal="center"/>
    </xf>
    <xf numFmtId="0" fontId="3" fillId="0" borderId="0" xfId="0" applyFont="1"/>
    <xf numFmtId="41" fontId="3" fillId="0" borderId="0" xfId="0" applyNumberFormat="1" applyFont="1"/>
    <xf numFmtId="15" fontId="3" fillId="0" borderId="0" xfId="0" applyNumberFormat="1" applyFont="1" applyAlignment="1">
      <alignment horizontal="center"/>
    </xf>
    <xf numFmtId="0" fontId="3" fillId="0" borderId="0" xfId="14" applyFont="1" applyBorder="1" applyAlignment="1">
      <alignment horizontal="center"/>
    </xf>
    <xf numFmtId="167" fontId="3" fillId="0" borderId="0" xfId="14" applyNumberFormat="1" applyFont="1" applyAlignment="1">
      <alignment horizontal="center"/>
    </xf>
    <xf numFmtId="41" fontId="3" fillId="0" borderId="0" xfId="14" applyNumberFormat="1" applyFont="1" applyAlignment="1">
      <alignment horizontal="center"/>
    </xf>
    <xf numFmtId="41" fontId="3" fillId="0" borderId="0" xfId="0" applyNumberFormat="1" applyFont="1" applyAlignment="1">
      <alignment horizontal="center"/>
    </xf>
    <xf numFmtId="0" fontId="23" fillId="0" borderId="0" xfId="0" applyFont="1"/>
    <xf numFmtId="0" fontId="25" fillId="0" borderId="0" xfId="0" applyFont="1"/>
    <xf numFmtId="41" fontId="25" fillId="0" borderId="0" xfId="0" applyNumberFormat="1" applyFont="1"/>
    <xf numFmtId="3" fontId="25" fillId="0" borderId="0" xfId="0" applyNumberFormat="1" applyFont="1"/>
    <xf numFmtId="10" fontId="25" fillId="0" borderId="0" xfId="0" applyNumberFormat="1" applyFont="1"/>
    <xf numFmtId="0" fontId="0" fillId="0" borderId="0" xfId="0" quotePrefix="1" applyFill="1" applyBorder="1"/>
    <xf numFmtId="0" fontId="0" fillId="0" borderId="0" xfId="0" applyFill="1" applyBorder="1"/>
    <xf numFmtId="0" fontId="0" fillId="0" borderId="0" xfId="0" applyFill="1" applyBorder="1" applyAlignment="1">
      <alignment horizontal="center"/>
    </xf>
    <xf numFmtId="3" fontId="0" fillId="0" borderId="0" xfId="0" applyNumberFormat="1" applyFill="1" applyBorder="1"/>
    <xf numFmtId="37" fontId="0" fillId="0" borderId="0" xfId="0" applyNumberFormat="1"/>
    <xf numFmtId="3" fontId="6" fillId="0" borderId="0" xfId="14" applyNumberFormat="1" applyFont="1" applyBorder="1" applyAlignment="1"/>
    <xf numFmtId="0" fontId="11" fillId="0" borderId="0" xfId="0" applyFont="1" applyFill="1" applyBorder="1"/>
    <xf numFmtId="14" fontId="0" fillId="0" borderId="0" xfId="0" applyNumberFormat="1" applyAlignment="1">
      <alignment horizontal="center"/>
    </xf>
    <xf numFmtId="0" fontId="3" fillId="0" borderId="0" xfId="0" applyFont="1" applyFill="1" applyBorder="1"/>
    <xf numFmtId="170" fontId="0" fillId="0" borderId="0" xfId="0" applyNumberFormat="1" applyFill="1" applyBorder="1"/>
    <xf numFmtId="4" fontId="0" fillId="0" borderId="0" xfId="0" applyNumberFormat="1"/>
    <xf numFmtId="3" fontId="3" fillId="0" borderId="0" xfId="14" applyNumberFormat="1" applyFill="1" applyAlignment="1">
      <alignment horizontal="center"/>
    </xf>
    <xf numFmtId="3" fontId="3" fillId="0" borderId="0" xfId="14" applyNumberFormat="1" applyFont="1" applyFill="1" applyAlignment="1">
      <alignment horizontal="center"/>
    </xf>
    <xf numFmtId="166" fontId="4" fillId="0" borderId="0" xfId="14" applyNumberFormat="1" applyFont="1" applyFill="1" applyAlignment="1">
      <alignment horizontal="center"/>
    </xf>
    <xf numFmtId="0" fontId="3" fillId="0" borderId="0" xfId="0" applyFont="1" applyFill="1" applyBorder="1" applyAlignment="1">
      <alignment horizontal="left"/>
    </xf>
    <xf numFmtId="0" fontId="3" fillId="0" borderId="0" xfId="0" applyFont="1" applyFill="1" applyBorder="1" applyProtection="1">
      <protection locked="0"/>
    </xf>
    <xf numFmtId="37" fontId="3" fillId="0" borderId="0" xfId="14" applyNumberFormat="1" applyFill="1" applyAlignment="1">
      <alignment horizontal="center"/>
    </xf>
    <xf numFmtId="164" fontId="3" fillId="0" borderId="0" xfId="14" applyNumberFormat="1" applyFill="1"/>
    <xf numFmtId="0" fontId="22" fillId="0" borderId="0" xfId="15" applyFont="1" applyFill="1"/>
    <xf numFmtId="3" fontId="3" fillId="0" borderId="0" xfId="14" applyNumberFormat="1" applyFont="1" applyFill="1"/>
    <xf numFmtId="0" fontId="0" fillId="0" borderId="0" xfId="0" applyFill="1" applyProtection="1">
      <protection locked="0"/>
    </xf>
    <xf numFmtId="39" fontId="0" fillId="0" borderId="0" xfId="0" applyNumberFormat="1" applyFill="1" applyProtection="1">
      <protection locked="0"/>
    </xf>
    <xf numFmtId="3" fontId="3" fillId="0" borderId="6" xfId="14" applyNumberFormat="1" applyBorder="1" applyAlignment="1">
      <alignment horizontal="right"/>
    </xf>
    <xf numFmtId="3" fontId="3" fillId="0" borderId="6" xfId="14" applyNumberFormat="1" applyFill="1" applyBorder="1" applyAlignment="1">
      <alignment horizontal="right"/>
    </xf>
    <xf numFmtId="3" fontId="6" fillId="0" borderId="7" xfId="14" applyNumberFormat="1" applyFont="1" applyFill="1" applyBorder="1"/>
    <xf numFmtId="3" fontId="3" fillId="0" borderId="0" xfId="14" applyNumberFormat="1" applyFill="1" applyBorder="1"/>
    <xf numFmtId="3" fontId="6" fillId="0" borderId="0" xfId="15" applyNumberFormat="1" applyFont="1" applyFill="1" applyBorder="1" applyProtection="1">
      <protection locked="0"/>
    </xf>
    <xf numFmtId="164" fontId="0" fillId="0" borderId="0" xfId="0" applyNumberFormat="1" applyFill="1" applyAlignment="1">
      <alignment horizontal="center"/>
    </xf>
    <xf numFmtId="166" fontId="4" fillId="0" borderId="0" xfId="0" applyNumberFormat="1" applyFont="1" applyFill="1" applyAlignment="1">
      <alignment horizontal="center"/>
    </xf>
    <xf numFmtId="43" fontId="0" fillId="0" borderId="0" xfId="4" applyFont="1"/>
    <xf numFmtId="171" fontId="0" fillId="0" borderId="0" xfId="4" applyNumberFormat="1" applyFont="1"/>
    <xf numFmtId="0" fontId="28" fillId="0" borderId="0" xfId="0" applyFont="1"/>
    <xf numFmtId="0" fontId="0" fillId="0" borderId="0" xfId="0" quotePrefix="1" applyBorder="1"/>
    <xf numFmtId="37" fontId="0" fillId="0" borderId="0" xfId="0" applyNumberFormat="1" applyBorder="1"/>
    <xf numFmtId="0" fontId="0" fillId="0" borderId="0" xfId="0" applyFill="1" applyBorder="1" applyAlignment="1">
      <alignment horizontal="left"/>
    </xf>
    <xf numFmtId="0" fontId="14" fillId="0" borderId="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41" fontId="0" fillId="0" borderId="0" xfId="0" applyNumberFormat="1" applyFill="1" applyBorder="1" applyAlignment="1">
      <alignment horizontal="center"/>
    </xf>
    <xf numFmtId="164" fontId="4" fillId="0" borderId="0" xfId="0" applyNumberFormat="1" applyFont="1" applyFill="1" applyAlignment="1">
      <alignment horizontal="center"/>
    </xf>
    <xf numFmtId="1" fontId="0" fillId="0" borderId="0" xfId="0" applyNumberFormat="1" applyFill="1" applyAlignment="1">
      <alignment horizontal="center"/>
    </xf>
    <xf numFmtId="41" fontId="0" fillId="0" borderId="0" xfId="0" applyNumberFormat="1" applyFill="1" applyAlignment="1">
      <alignment horizontal="center"/>
    </xf>
    <xf numFmtId="41" fontId="0" fillId="0" borderId="2" xfId="0" applyNumberFormat="1" applyFill="1" applyBorder="1" applyAlignment="1"/>
    <xf numFmtId="0" fontId="0" fillId="0" borderId="0" xfId="0" applyFill="1" applyAlignment="1"/>
    <xf numFmtId="0" fontId="6" fillId="0" borderId="9" xfId="14" applyFont="1" applyBorder="1" applyAlignment="1">
      <alignment horizontal="center"/>
    </xf>
    <xf numFmtId="0" fontId="6" fillId="0" borderId="5" xfId="14" applyFont="1" applyBorder="1" applyAlignment="1">
      <alignment horizontal="center"/>
    </xf>
    <xf numFmtId="37" fontId="0" fillId="0" borderId="0" xfId="0" quotePrefix="1" applyNumberFormat="1" applyAlignment="1"/>
    <xf numFmtId="37" fontId="0" fillId="0" borderId="0" xfId="0" applyNumberFormat="1" applyAlignment="1"/>
    <xf numFmtId="37" fontId="0" fillId="0" borderId="2" xfId="0" applyNumberFormat="1" applyBorder="1" applyAlignment="1"/>
    <xf numFmtId="37" fontId="0" fillId="0" borderId="0" xfId="0" applyNumberFormat="1" applyFill="1" applyAlignment="1">
      <alignment horizontal="center"/>
    </xf>
    <xf numFmtId="37" fontId="0" fillId="0" borderId="2" xfId="0" applyNumberFormat="1" applyFill="1" applyBorder="1" applyAlignment="1">
      <alignment horizontal="center"/>
    </xf>
    <xf numFmtId="37" fontId="0" fillId="0" borderId="3" xfId="0" applyNumberFormat="1" applyFill="1" applyBorder="1"/>
    <xf numFmtId="17" fontId="4" fillId="0" borderId="0" xfId="0" applyNumberFormat="1" applyFont="1" applyAlignment="1">
      <alignment horizontal="center"/>
    </xf>
    <xf numFmtId="0" fontId="16" fillId="3" borderId="0" xfId="0" applyFont="1" applyFill="1" applyBorder="1" applyAlignment="1" applyProtection="1">
      <alignment horizontal="left" vertical="top"/>
      <protection locked="0"/>
    </xf>
    <xf numFmtId="0" fontId="15" fillId="3" borderId="0" xfId="0" applyFont="1" applyFill="1" applyBorder="1" applyAlignment="1" applyProtection="1">
      <alignment horizontal="left" vertical="top"/>
      <protection locked="0"/>
    </xf>
    <xf numFmtId="3" fontId="0" fillId="0" borderId="0" xfId="0" applyNumberFormat="1" applyFill="1" applyAlignment="1"/>
    <xf numFmtId="3" fontId="0" fillId="0" borderId="0" xfId="0" applyNumberFormat="1" applyFill="1" applyBorder="1" applyAlignment="1"/>
    <xf numFmtId="3" fontId="31" fillId="0" borderId="0" xfId="0" applyNumberFormat="1" applyFont="1"/>
    <xf numFmtId="0" fontId="0" fillId="4" borderId="0" xfId="0" applyFill="1" applyBorder="1"/>
    <xf numFmtId="0" fontId="0" fillId="5" borderId="0" xfId="0" applyFill="1" applyBorder="1"/>
    <xf numFmtId="0" fontId="0" fillId="2" borderId="0" xfId="0" applyFill="1" applyBorder="1"/>
    <xf numFmtId="0" fontId="29" fillId="0" borderId="0" xfId="13" applyFont="1" applyFill="1" applyBorder="1"/>
    <xf numFmtId="0" fontId="3" fillId="0" borderId="0" xfId="13" applyFont="1" applyFill="1" applyBorder="1"/>
    <xf numFmtId="0" fontId="3" fillId="0" borderId="0" xfId="13" applyFill="1" applyBorder="1"/>
    <xf numFmtId="0" fontId="30" fillId="0" borderId="0" xfId="13" applyFont="1" applyFill="1" applyBorder="1"/>
    <xf numFmtId="0" fontId="31" fillId="0" borderId="0" xfId="13" applyFont="1" applyFill="1" applyBorder="1"/>
    <xf numFmtId="0" fontId="19" fillId="0" borderId="0" xfId="13" applyFont="1" applyFill="1" applyBorder="1"/>
    <xf numFmtId="41" fontId="31" fillId="0" borderId="0" xfId="0" applyNumberFormat="1" applyFont="1"/>
    <xf numFmtId="171" fontId="31" fillId="0" borderId="0" xfId="4" applyNumberFormat="1" applyFont="1"/>
    <xf numFmtId="37" fontId="31" fillId="0" borderId="0" xfId="0" applyNumberFormat="1" applyFont="1" applyFill="1"/>
    <xf numFmtId="41" fontId="31" fillId="0" borderId="0" xfId="0" applyNumberFormat="1" applyFont="1" applyFill="1"/>
    <xf numFmtId="41" fontId="31" fillId="0" borderId="0" xfId="0" applyNumberFormat="1" applyFont="1" applyFill="1" applyAlignment="1">
      <alignment horizontal="center"/>
    </xf>
    <xf numFmtId="167" fontId="31" fillId="0" borderId="0" xfId="14" applyNumberFormat="1" applyFont="1" applyAlignment="1"/>
    <xf numFmtId="41" fontId="31" fillId="0" borderId="3" xfId="0" applyNumberFormat="1" applyFont="1" applyBorder="1"/>
    <xf numFmtId="41" fontId="31" fillId="0" borderId="0" xfId="0" applyNumberFormat="1" applyFont="1" applyBorder="1"/>
    <xf numFmtId="41" fontId="31" fillId="0" borderId="3" xfId="0" applyNumberFormat="1" applyFont="1" applyFill="1" applyBorder="1"/>
    <xf numFmtId="0" fontId="31" fillId="0" borderId="0" xfId="0" applyFont="1"/>
    <xf numFmtId="0" fontId="31" fillId="0" borderId="3" xfId="0" applyFont="1" applyFill="1" applyBorder="1"/>
    <xf numFmtId="37" fontId="31" fillId="2" borderId="0" xfId="0" applyNumberFormat="1" applyFont="1" applyFill="1"/>
    <xf numFmtId="3" fontId="31" fillId="0" borderId="0" xfId="0" applyNumberFormat="1" applyFont="1" applyFill="1" applyAlignment="1"/>
    <xf numFmtId="3" fontId="31" fillId="0" borderId="0" xfId="0" applyNumberFormat="1" applyFont="1" applyFill="1"/>
    <xf numFmtId="41" fontId="31" fillId="0" borderId="0" xfId="14" applyNumberFormat="1" applyFont="1" applyFill="1"/>
    <xf numFmtId="3" fontId="31" fillId="0" borderId="0" xfId="14" applyNumberFormat="1" applyFont="1" applyFill="1"/>
    <xf numFmtId="171" fontId="31" fillId="0" borderId="0" xfId="14" applyNumberFormat="1" applyFont="1" applyFill="1"/>
    <xf numFmtId="37" fontId="3" fillId="0" borderId="0" xfId="14" applyNumberFormat="1" applyFont="1" applyFill="1"/>
    <xf numFmtId="37" fontId="31" fillId="0" borderId="0" xfId="14" applyNumberFormat="1" applyFont="1" applyFill="1"/>
    <xf numFmtId="167" fontId="3" fillId="0" borderId="0" xfId="14" applyNumberFormat="1" applyFont="1" applyAlignment="1">
      <alignment horizontal="right"/>
    </xf>
    <xf numFmtId="167" fontId="3" fillId="0" borderId="0" xfId="14" applyNumberFormat="1" applyFont="1" applyBorder="1" applyAlignment="1">
      <alignment horizontal="right"/>
    </xf>
    <xf numFmtId="167" fontId="31" fillId="0" borderId="0" xfId="14" applyNumberFormat="1" applyFont="1" applyAlignment="1">
      <alignment horizontal="right"/>
    </xf>
    <xf numFmtId="167" fontId="31" fillId="0" borderId="0" xfId="17" applyNumberFormat="1" applyFont="1" applyAlignment="1">
      <alignment horizontal="right"/>
    </xf>
    <xf numFmtId="37" fontId="0" fillId="2" borderId="0" xfId="0" applyNumberFormat="1" applyFill="1"/>
    <xf numFmtId="37" fontId="0" fillId="2" borderId="0" xfId="0" applyNumberFormat="1" applyFill="1" applyAlignment="1">
      <alignment horizontal="center"/>
    </xf>
    <xf numFmtId="37" fontId="17" fillId="2" borderId="0" xfId="0" applyNumberFormat="1" applyFont="1" applyFill="1" applyAlignment="1">
      <alignment horizontal="center"/>
    </xf>
    <xf numFmtId="37" fontId="0" fillId="2" borderId="2" xfId="0" applyNumberFormat="1" applyFill="1" applyBorder="1" applyAlignment="1">
      <alignment horizontal="center"/>
    </xf>
    <xf numFmtId="41" fontId="31" fillId="0" borderId="0" xfId="4" applyNumberFormat="1" applyFont="1" applyFill="1" applyBorder="1" applyAlignment="1">
      <alignment horizontal="center"/>
    </xf>
    <xf numFmtId="41" fontId="0" fillId="0" borderId="0" xfId="0" applyNumberFormat="1" applyFill="1" applyBorder="1" applyAlignment="1"/>
    <xf numFmtId="0" fontId="31" fillId="0" borderId="0" xfId="0" applyFont="1" applyFill="1"/>
    <xf numFmtId="0" fontId="0" fillId="0" borderId="0" xfId="0" applyFill="1" applyAlignment="1">
      <alignment horizontal="left"/>
    </xf>
    <xf numFmtId="41" fontId="0" fillId="0" borderId="0" xfId="0" quotePrefix="1" applyNumberFormat="1"/>
    <xf numFmtId="17" fontId="4" fillId="0" borderId="0" xfId="0" applyNumberFormat="1" applyFont="1" applyFill="1" applyAlignment="1">
      <alignment horizontal="center"/>
    </xf>
    <xf numFmtId="39" fontId="0" fillId="0" borderId="0" xfId="0" applyNumberFormat="1" applyFill="1"/>
    <xf numFmtId="0" fontId="37" fillId="0" borderId="0" xfId="0" applyFont="1" applyFill="1" applyAlignment="1" applyProtection="1">
      <alignment horizontal="left" vertical="top"/>
      <protection locked="0"/>
    </xf>
    <xf numFmtId="3" fontId="3" fillId="0" borderId="0" xfId="0" applyNumberFormat="1" applyFont="1" applyFill="1"/>
    <xf numFmtId="164" fontId="0" fillId="0" borderId="0" xfId="0" applyNumberFormat="1" applyFill="1"/>
    <xf numFmtId="0" fontId="4" fillId="0" borderId="0" xfId="0" applyFont="1" applyFill="1"/>
    <xf numFmtId="0" fontId="3" fillId="0" borderId="0" xfId="0" applyFont="1" applyFill="1" applyBorder="1" applyAlignment="1">
      <alignment horizontal="center"/>
    </xf>
    <xf numFmtId="171" fontId="3" fillId="0" borderId="0" xfId="4" applyNumberFormat="1" applyFill="1"/>
    <xf numFmtId="1" fontId="0" fillId="0" borderId="3" xfId="0" applyNumberFormat="1" applyFill="1" applyBorder="1" applyAlignment="1">
      <alignment horizontal="center" wrapText="1"/>
    </xf>
    <xf numFmtId="43" fontId="3" fillId="0" borderId="3" xfId="4" applyFont="1" applyFill="1" applyBorder="1" applyAlignment="1">
      <alignment horizontal="center"/>
    </xf>
    <xf numFmtId="171" fontId="3" fillId="0" borderId="3" xfId="4" applyNumberFormat="1" applyFont="1" applyFill="1" applyBorder="1" applyAlignment="1">
      <alignment horizontal="center"/>
    </xf>
    <xf numFmtId="1" fontId="0" fillId="0" borderId="0" xfId="0" quotePrefix="1" applyNumberFormat="1" applyFill="1" applyAlignment="1"/>
    <xf numFmtId="43" fontId="3" fillId="0" borderId="0" xfId="4" quotePrefix="1" applyFill="1" applyAlignment="1"/>
    <xf numFmtId="43" fontId="3" fillId="0" borderId="0" xfId="4" applyFont="1" applyFill="1" applyAlignment="1"/>
    <xf numFmtId="171" fontId="3" fillId="0" borderId="2" xfId="4" applyNumberFormat="1" applyFill="1" applyBorder="1"/>
    <xf numFmtId="171" fontId="3" fillId="0" borderId="0" xfId="4" applyNumberFormat="1" applyFill="1" applyBorder="1"/>
    <xf numFmtId="171" fontId="0" fillId="0" borderId="0" xfId="4" applyNumberFormat="1" applyFont="1" applyFill="1"/>
    <xf numFmtId="1" fontId="0" fillId="0" borderId="0" xfId="0" applyNumberFormat="1" applyFill="1" applyBorder="1" applyAlignment="1">
      <alignment horizontal="center"/>
    </xf>
    <xf numFmtId="171" fontId="0" fillId="0" borderId="0" xfId="4" applyNumberFormat="1" applyFont="1" applyFill="1" applyBorder="1"/>
    <xf numFmtId="37" fontId="0" fillId="0" borderId="0" xfId="0" applyNumberFormat="1" applyFill="1"/>
    <xf numFmtId="37" fontId="12" fillId="0" borderId="0" xfId="0" applyNumberFormat="1" applyFont="1" applyFill="1" applyAlignment="1">
      <alignment horizontal="center"/>
    </xf>
    <xf numFmtId="37" fontId="17" fillId="0" borderId="0" xfId="0" applyNumberFormat="1" applyFont="1" applyFill="1" applyAlignment="1">
      <alignment horizontal="center"/>
    </xf>
    <xf numFmtId="37" fontId="4" fillId="0" borderId="0" xfId="0" applyNumberFormat="1" applyFont="1" applyFill="1" applyAlignment="1">
      <alignment horizontal="center"/>
    </xf>
    <xf numFmtId="37" fontId="3" fillId="0" borderId="0" xfId="0" applyNumberFormat="1" applyFont="1" applyFill="1"/>
    <xf numFmtId="171" fontId="31" fillId="0" borderId="3" xfId="4" applyNumberFormat="1" applyFont="1" applyFill="1" applyBorder="1"/>
    <xf numFmtId="165" fontId="31" fillId="0" borderId="0" xfId="0" applyNumberFormat="1" applyFont="1" applyFill="1" applyAlignment="1">
      <alignment horizontal="center"/>
    </xf>
    <xf numFmtId="171" fontId="31" fillId="0" borderId="0" xfId="4" quotePrefix="1" applyNumberFormat="1" applyFont="1" applyFill="1" applyAlignment="1"/>
    <xf numFmtId="171" fontId="0" fillId="0" borderId="0" xfId="4" applyNumberFormat="1" applyFont="1" applyAlignment="1"/>
    <xf numFmtId="171" fontId="0" fillId="0" borderId="0" xfId="4" applyNumberFormat="1" applyFont="1" applyFill="1" applyAlignment="1"/>
    <xf numFmtId="171" fontId="0" fillId="0" borderId="0" xfId="4" quotePrefix="1" applyNumberFormat="1" applyFont="1" applyFill="1" applyAlignment="1"/>
    <xf numFmtId="171" fontId="0" fillId="0" borderId="2" xfId="4" applyNumberFormat="1" applyFont="1" applyFill="1" applyBorder="1" applyAlignment="1"/>
    <xf numFmtId="165" fontId="31" fillId="0" borderId="0" xfId="0" applyNumberFormat="1" applyFont="1" applyAlignment="1">
      <alignment horizontal="center"/>
    </xf>
    <xf numFmtId="165" fontId="0" fillId="0" borderId="0" xfId="0" applyNumberFormat="1" applyAlignment="1">
      <alignment horizontal="center"/>
    </xf>
    <xf numFmtId="0" fontId="0" fillId="6" borderId="0" xfId="0" applyFill="1"/>
    <xf numFmtId="41" fontId="31" fillId="0" borderId="3" xfId="0" applyNumberFormat="1" applyFont="1" applyFill="1" applyBorder="1" applyAlignment="1">
      <alignment horizontal="center"/>
    </xf>
    <xf numFmtId="10" fontId="31" fillId="7" borderId="0" xfId="0" applyNumberFormat="1" applyFont="1" applyFill="1" applyAlignment="1">
      <alignment horizontal="center"/>
    </xf>
    <xf numFmtId="10" fontId="31" fillId="0" borderId="0" xfId="0" applyNumberFormat="1" applyFont="1"/>
    <xf numFmtId="10" fontId="31" fillId="0" borderId="0" xfId="0" applyNumberFormat="1" applyFont="1" applyFill="1"/>
    <xf numFmtId="9" fontId="0" fillId="0" borderId="0" xfId="17" applyFont="1"/>
    <xf numFmtId="10" fontId="0" fillId="0" borderId="4" xfId="17" applyNumberFormat="1" applyFont="1" applyBorder="1"/>
    <xf numFmtId="3" fontId="36" fillId="0" borderId="0" xfId="0" applyNumberFormat="1" applyFont="1" applyFill="1"/>
    <xf numFmtId="0" fontId="8" fillId="0" borderId="0" xfId="0" applyFont="1" applyFill="1" applyBorder="1"/>
    <xf numFmtId="9" fontId="0" fillId="0" borderId="0" xfId="17" applyFont="1" applyFill="1"/>
    <xf numFmtId="167" fontId="0" fillId="0" borderId="0" xfId="0" applyNumberFormat="1" applyFill="1"/>
    <xf numFmtId="9" fontId="0" fillId="0" borderId="0" xfId="0" applyNumberFormat="1" applyFill="1"/>
    <xf numFmtId="0" fontId="0" fillId="0" borderId="0" xfId="0" quotePrefix="1" applyFill="1"/>
    <xf numFmtId="10" fontId="0" fillId="0" borderId="0" xfId="17" applyNumberFormat="1" applyFont="1" applyBorder="1"/>
    <xf numFmtId="171" fontId="3" fillId="0" borderId="0" xfId="4" applyNumberFormat="1" applyFont="1" applyFill="1" applyAlignment="1">
      <alignment horizontal="center"/>
    </xf>
    <xf numFmtId="171" fontId="0" fillId="0" borderId="2" xfId="4" applyNumberFormat="1" applyFont="1" applyFill="1" applyBorder="1" applyAlignment="1">
      <alignment horizontal="center"/>
    </xf>
    <xf numFmtId="171" fontId="0" fillId="0" borderId="2" xfId="4" applyNumberFormat="1" applyFont="1" applyFill="1" applyBorder="1"/>
    <xf numFmtId="43" fontId="31" fillId="0" borderId="0" xfId="4" applyFont="1" applyFill="1"/>
    <xf numFmtId="3" fontId="0" fillId="0" borderId="2" xfId="0" applyNumberFormat="1" applyFill="1" applyBorder="1"/>
    <xf numFmtId="171" fontId="0" fillId="0" borderId="2" xfId="4" applyNumberFormat="1" applyFont="1" applyBorder="1"/>
    <xf numFmtId="0" fontId="38" fillId="0" borderId="0" xfId="0" applyFont="1" applyBorder="1"/>
    <xf numFmtId="0" fontId="14" fillId="0" borderId="0" xfId="0" applyFont="1" applyAlignment="1">
      <alignment horizontal="left"/>
    </xf>
    <xf numFmtId="41" fontId="3" fillId="0" borderId="0" xfId="0" applyNumberFormat="1" applyFont="1" applyFill="1"/>
    <xf numFmtId="169" fontId="20" fillId="0" borderId="0" xfId="0" applyNumberFormat="1" applyFont="1" applyFill="1" applyBorder="1" applyAlignment="1" applyProtection="1">
      <alignment horizontal="center"/>
      <protection locked="0"/>
    </xf>
    <xf numFmtId="0" fontId="39" fillId="0" borderId="0" xfId="0" applyFont="1" applyFill="1" applyAlignment="1">
      <alignment horizontal="center"/>
    </xf>
    <xf numFmtId="41" fontId="3" fillId="0" borderId="2" xfId="14" applyNumberFormat="1" applyFill="1" applyBorder="1"/>
    <xf numFmtId="41" fontId="3" fillId="0" borderId="0" xfId="14" applyNumberFormat="1" applyFill="1"/>
    <xf numFmtId="41" fontId="3" fillId="0" borderId="0" xfId="14" applyNumberFormat="1" applyFont="1" applyFill="1"/>
    <xf numFmtId="43" fontId="3" fillId="0" borderId="0" xfId="14" applyNumberFormat="1"/>
    <xf numFmtId="9" fontId="3" fillId="0" borderId="0" xfId="14" applyNumberFormat="1"/>
    <xf numFmtId="43" fontId="3" fillId="0" borderId="0" xfId="14" applyNumberFormat="1" applyFill="1"/>
    <xf numFmtId="164" fontId="3" fillId="0" borderId="0" xfId="14" applyNumberFormat="1" applyFill="1" applyAlignment="1">
      <alignment horizontal="right"/>
    </xf>
    <xf numFmtId="10" fontId="3" fillId="0" borderId="0" xfId="17" applyNumberFormat="1" applyBorder="1" applyAlignment="1">
      <alignment horizontal="right"/>
    </xf>
    <xf numFmtId="164" fontId="3" fillId="0" borderId="0" xfId="14" applyNumberFormat="1" applyFont="1" applyAlignment="1">
      <alignment horizontal="right"/>
    </xf>
    <xf numFmtId="171" fontId="3" fillId="0" borderId="0" xfId="4" applyNumberFormat="1"/>
    <xf numFmtId="172" fontId="3" fillId="0" borderId="0" xfId="17" applyNumberFormat="1" applyBorder="1"/>
    <xf numFmtId="10" fontId="3" fillId="0" borderId="0" xfId="17" applyNumberFormat="1"/>
    <xf numFmtId="171" fontId="3" fillId="0" borderId="3" xfId="4" applyNumberFormat="1" applyBorder="1"/>
    <xf numFmtId="171" fontId="31" fillId="0" borderId="0" xfId="4" applyNumberFormat="1" applyFont="1" applyFill="1"/>
    <xf numFmtId="167" fontId="31" fillId="0" borderId="5" xfId="17" applyNumberFormat="1" applyFont="1" applyBorder="1" applyAlignment="1">
      <alignment horizontal="center"/>
    </xf>
    <xf numFmtId="0" fontId="6" fillId="0" borderId="9" xfId="14" quotePrefix="1" applyFont="1" applyBorder="1" applyAlignment="1">
      <alignment horizontal="center"/>
    </xf>
    <xf numFmtId="9" fontId="0" fillId="0" borderId="0" xfId="0" applyNumberFormat="1"/>
    <xf numFmtId="0" fontId="6" fillId="0" borderId="5" xfId="14" quotePrefix="1" applyFont="1" applyBorder="1" applyAlignment="1">
      <alignment horizontal="center"/>
    </xf>
    <xf numFmtId="171" fontId="3" fillId="0" borderId="0" xfId="14" applyNumberFormat="1" applyFont="1" applyFill="1"/>
    <xf numFmtId="37" fontId="31" fillId="0" borderId="6" xfId="14" applyNumberFormat="1" applyFont="1" applyFill="1" applyBorder="1"/>
    <xf numFmtId="167" fontId="3" fillId="0" borderId="0" xfId="17" applyNumberFormat="1" applyFont="1" applyFill="1" applyBorder="1" applyAlignment="1">
      <alignment horizontal="right"/>
    </xf>
    <xf numFmtId="41" fontId="3" fillId="0" borderId="0" xfId="14" applyNumberFormat="1" applyFont="1" applyBorder="1" applyAlignment="1"/>
    <xf numFmtId="3" fontId="3" fillId="0" borderId="2" xfId="14" applyNumberFormat="1" applyFont="1" applyBorder="1" applyAlignment="1"/>
    <xf numFmtId="167" fontId="0" fillId="0" borderId="0" xfId="0" applyNumberFormat="1" applyAlignment="1">
      <alignment horizontal="center"/>
    </xf>
    <xf numFmtId="167" fontId="0" fillId="0" borderId="0" xfId="0" applyNumberFormat="1" applyBorder="1" applyAlignment="1">
      <alignment horizontal="center"/>
    </xf>
    <xf numFmtId="167" fontId="0" fillId="0" borderId="0" xfId="0" applyNumberFormat="1" applyBorder="1" applyAlignment="1"/>
    <xf numFmtId="10" fontId="0" fillId="0" borderId="0" xfId="0" applyNumberFormat="1" applyFill="1" applyBorder="1" applyAlignment="1"/>
    <xf numFmtId="10" fontId="3" fillId="0" borderId="0" xfId="14" applyNumberFormat="1" applyFont="1" applyFill="1" applyAlignment="1"/>
    <xf numFmtId="0" fontId="6" fillId="0" borderId="0" xfId="14" applyFont="1" applyBorder="1" applyAlignment="1">
      <alignment horizontal="left" vertical="center"/>
    </xf>
    <xf numFmtId="167" fontId="3" fillId="0" borderId="0" xfId="17" applyNumberFormat="1" applyFont="1" applyBorder="1" applyAlignment="1">
      <alignment horizontal="right"/>
    </xf>
    <xf numFmtId="41" fontId="31" fillId="0" borderId="0" xfId="14" applyNumberFormat="1" applyFont="1" applyAlignment="1"/>
    <xf numFmtId="167" fontId="3" fillId="0" borderId="0" xfId="14" applyNumberFormat="1" applyFont="1" applyFill="1" applyBorder="1" applyAlignment="1"/>
    <xf numFmtId="41" fontId="3" fillId="0" borderId="0" xfId="14" applyNumberFormat="1" applyFont="1" applyAlignment="1"/>
    <xf numFmtId="3" fontId="31" fillId="0" borderId="0" xfId="14" applyNumberFormat="1" applyFont="1" applyAlignment="1"/>
    <xf numFmtId="167" fontId="31" fillId="0" borderId="0" xfId="14" applyNumberFormat="1" applyFont="1" applyBorder="1" applyAlignment="1">
      <alignment horizontal="right"/>
    </xf>
    <xf numFmtId="41" fontId="3" fillId="0" borderId="2" xfId="14" applyNumberFormat="1" applyFont="1" applyBorder="1" applyAlignment="1"/>
    <xf numFmtId="167" fontId="31" fillId="0" borderId="0" xfId="14" applyNumberFormat="1" applyFont="1" applyFill="1" applyBorder="1" applyAlignment="1"/>
    <xf numFmtId="3" fontId="3" fillId="0" borderId="0" xfId="14" applyNumberFormat="1" applyFont="1" applyBorder="1" applyAlignment="1"/>
    <xf numFmtId="167" fontId="6" fillId="0" borderId="0" xfId="14" applyNumberFormat="1" applyFont="1" applyFill="1" applyBorder="1" applyAlignment="1"/>
    <xf numFmtId="0" fontId="6" fillId="0" borderId="0" xfId="14" applyFont="1" applyFill="1"/>
    <xf numFmtId="3" fontId="3" fillId="0" borderId="0" xfId="14" applyNumberFormat="1" applyFont="1" applyFill="1" applyAlignment="1"/>
    <xf numFmtId="41" fontId="31" fillId="0" borderId="0" xfId="14" applyNumberFormat="1" applyFont="1" applyBorder="1" applyAlignment="1"/>
    <xf numFmtId="41" fontId="31" fillId="0" borderId="0" xfId="14" applyNumberFormat="1" applyFont="1" applyBorder="1" applyAlignment="1">
      <alignment horizontal="right"/>
    </xf>
    <xf numFmtId="41" fontId="31" fillId="0" borderId="0" xfId="14" applyNumberFormat="1" applyFont="1" applyFill="1" applyBorder="1" applyAlignment="1"/>
    <xf numFmtId="3" fontId="3" fillId="0" borderId="8" xfId="14" applyNumberFormat="1" applyFont="1" applyBorder="1" applyAlignment="1"/>
    <xf numFmtId="37" fontId="3" fillId="0" borderId="8" xfId="14" applyNumberFormat="1" applyFont="1" applyBorder="1" applyAlignment="1"/>
    <xf numFmtId="167" fontId="34" fillId="0" borderId="0" xfId="14" applyNumberFormat="1" applyFont="1" applyBorder="1" applyAlignment="1">
      <alignment horizontal="right"/>
    </xf>
    <xf numFmtId="41" fontId="5" fillId="0" borderId="0" xfId="14" applyNumberFormat="1" applyFont="1" applyAlignment="1"/>
    <xf numFmtId="167" fontId="34" fillId="0" borderId="0" xfId="14" applyNumberFormat="1" applyFont="1" applyFill="1" applyAlignment="1"/>
    <xf numFmtId="167" fontId="31" fillId="0" borderId="0" xfId="14" applyNumberFormat="1" applyFont="1" applyFill="1" applyBorder="1" applyAlignment="1">
      <alignment horizontal="right"/>
    </xf>
    <xf numFmtId="167" fontId="5" fillId="0" borderId="0" xfId="14" applyNumberFormat="1" applyFont="1" applyFill="1" applyAlignment="1"/>
    <xf numFmtId="167" fontId="0" fillId="0" borderId="0" xfId="0" applyNumberFormat="1" applyFill="1" applyAlignment="1"/>
    <xf numFmtId="41" fontId="31" fillId="0" borderId="0" xfId="14" applyNumberFormat="1" applyFont="1" applyFill="1" applyAlignment="1"/>
    <xf numFmtId="41" fontId="3" fillId="0" borderId="0" xfId="14" applyNumberFormat="1" applyFont="1" applyFill="1" applyAlignment="1"/>
    <xf numFmtId="3" fontId="5" fillId="0" borderId="0" xfId="14" applyNumberFormat="1" applyFont="1" applyFill="1" applyAlignment="1"/>
    <xf numFmtId="41" fontId="5" fillId="0" borderId="0" xfId="14" applyNumberFormat="1" applyFont="1" applyFill="1" applyAlignment="1"/>
    <xf numFmtId="3" fontId="3" fillId="0" borderId="2" xfId="14" applyNumberFormat="1" applyFont="1" applyFill="1" applyBorder="1" applyAlignment="1"/>
    <xf numFmtId="41" fontId="3" fillId="0" borderId="2" xfId="14" applyNumberFormat="1" applyFont="1" applyFill="1" applyBorder="1" applyAlignment="1"/>
    <xf numFmtId="43" fontId="0" fillId="0" borderId="0" xfId="4" applyFont="1" applyAlignment="1">
      <alignment horizontal="center"/>
    </xf>
    <xf numFmtId="43" fontId="0" fillId="0" borderId="8" xfId="4" applyFont="1" applyFill="1" applyBorder="1" applyAlignment="1">
      <alignment horizontal="center"/>
    </xf>
    <xf numFmtId="171" fontId="0" fillId="0" borderId="0" xfId="4" applyNumberFormat="1" applyFont="1" applyAlignment="1">
      <alignment horizontal="center"/>
    </xf>
    <xf numFmtId="171" fontId="0" fillId="0" borderId="8" xfId="4" applyNumberFormat="1" applyFont="1" applyBorder="1" applyAlignment="1">
      <alignment horizontal="center"/>
    </xf>
    <xf numFmtId="171" fontId="0" fillId="0" borderId="3" xfId="4" applyNumberFormat="1" applyFont="1" applyBorder="1" applyAlignment="1">
      <alignment horizontal="center"/>
    </xf>
    <xf numFmtId="171" fontId="0" fillId="0" borderId="3" xfId="4" applyNumberFormat="1" applyFont="1" applyBorder="1"/>
    <xf numFmtId="37" fontId="0" fillId="2" borderId="3" xfId="0" applyNumberFormat="1" applyFill="1" applyBorder="1"/>
    <xf numFmtId="43" fontId="0" fillId="0" borderId="0" xfId="4" applyFont="1" applyFill="1"/>
    <xf numFmtId="171" fontId="0" fillId="0" borderId="3" xfId="4" applyNumberFormat="1" applyFont="1" applyFill="1" applyBorder="1"/>
    <xf numFmtId="171" fontId="0" fillId="0" borderId="8" xfId="4" applyNumberFormat="1" applyFont="1" applyFill="1" applyBorder="1" applyAlignment="1">
      <alignment horizontal="center"/>
    </xf>
    <xf numFmtId="43" fontId="0" fillId="0" borderId="0" xfId="4" applyFont="1" applyFill="1" applyBorder="1" applyAlignment="1">
      <alignment horizontal="center"/>
    </xf>
    <xf numFmtId="171" fontId="0" fillId="0" borderId="0" xfId="4" applyNumberFormat="1" applyFont="1" applyFill="1" applyBorder="1" applyAlignment="1">
      <alignment horizontal="center"/>
    </xf>
    <xf numFmtId="171" fontId="0" fillId="0" borderId="0" xfId="4" applyNumberFormat="1" applyFont="1" applyFill="1" applyAlignment="1">
      <alignment horizontal="center"/>
    </xf>
    <xf numFmtId="171" fontId="0" fillId="0" borderId="3" xfId="4" applyNumberFormat="1" applyFont="1" applyFill="1" applyBorder="1" applyAlignment="1">
      <alignment horizontal="center"/>
    </xf>
    <xf numFmtId="43" fontId="0" fillId="0" borderId="2" xfId="4" applyFont="1" applyFill="1" applyBorder="1" applyAlignment="1">
      <alignment horizontal="center"/>
    </xf>
    <xf numFmtId="167" fontId="3" fillId="0" borderId="0" xfId="0" applyNumberFormat="1" applyFont="1"/>
    <xf numFmtId="0" fontId="3" fillId="0" borderId="3" xfId="14" applyFont="1" applyBorder="1" applyAlignment="1">
      <alignment horizontal="center"/>
    </xf>
    <xf numFmtId="167" fontId="3" fillId="0" borderId="3" xfId="14" applyNumberFormat="1" applyFont="1" applyBorder="1" applyAlignment="1">
      <alignment horizontal="center"/>
    </xf>
    <xf numFmtId="166" fontId="3" fillId="0" borderId="3" xfId="14" applyNumberFormat="1" applyFont="1" applyBorder="1" applyAlignment="1">
      <alignment horizontal="center"/>
    </xf>
    <xf numFmtId="167" fontId="3" fillId="0" borderId="0" xfId="14" applyNumberFormat="1" applyFont="1" applyFill="1" applyAlignment="1">
      <alignment horizontal="center"/>
    </xf>
    <xf numFmtId="0" fontId="4" fillId="0" borderId="0" xfId="14" applyFont="1" applyFill="1"/>
    <xf numFmtId="164" fontId="3" fillId="0" borderId="0" xfId="14" applyNumberFormat="1" applyFont="1" applyFill="1"/>
    <xf numFmtId="41" fontId="3" fillId="0" borderId="0" xfId="0" applyNumberFormat="1" applyFont="1" applyAlignment="1"/>
    <xf numFmtId="3" fontId="3" fillId="0" borderId="0" xfId="0" applyNumberFormat="1" applyFont="1" applyAlignment="1"/>
    <xf numFmtId="41" fontId="31" fillId="0" borderId="0" xfId="14" applyNumberFormat="1" applyFont="1"/>
    <xf numFmtId="0" fontId="11" fillId="0" borderId="0" xfId="14" applyFont="1" applyFill="1"/>
    <xf numFmtId="41" fontId="3" fillId="0" borderId="6" xfId="14" applyNumberFormat="1" applyFont="1" applyBorder="1" applyAlignment="1"/>
    <xf numFmtId="164" fontId="3" fillId="0" borderId="0" xfId="14" applyNumberFormat="1" applyFont="1" applyFill="1" applyAlignment="1">
      <alignment horizontal="right"/>
    </xf>
    <xf numFmtId="41" fontId="3" fillId="0" borderId="6" xfId="14" applyNumberFormat="1" applyFont="1" applyBorder="1"/>
    <xf numFmtId="3" fontId="3" fillId="0" borderId="0" xfId="0" applyNumberFormat="1" applyFont="1"/>
    <xf numFmtId="0" fontId="24" fillId="0" borderId="0" xfId="14" applyFont="1" applyFill="1"/>
    <xf numFmtId="41" fontId="3" fillId="0" borderId="2" xfId="14" applyNumberFormat="1" applyFont="1" applyBorder="1"/>
    <xf numFmtId="167" fontId="31" fillId="0" borderId="0" xfId="17" applyNumberFormat="1" applyFont="1" applyFill="1" applyAlignment="1">
      <alignment horizontal="right"/>
    </xf>
    <xf numFmtId="3" fontId="4" fillId="0" borderId="0" xfId="14" applyNumberFormat="1" applyFont="1" applyFill="1"/>
    <xf numFmtId="3" fontId="11" fillId="0" borderId="0" xfId="14" applyNumberFormat="1" applyFont="1" applyFill="1"/>
    <xf numFmtId="41" fontId="3" fillId="0" borderId="2" xfId="14" applyNumberFormat="1" applyFont="1" applyFill="1" applyBorder="1"/>
    <xf numFmtId="167" fontId="3" fillId="0" borderId="0" xfId="0" applyNumberFormat="1" applyFont="1" applyFill="1"/>
    <xf numFmtId="167" fontId="31" fillId="0" borderId="0" xfId="14" applyNumberFormat="1" applyFont="1" applyFill="1" applyAlignment="1"/>
    <xf numFmtId="167" fontId="31" fillId="0" borderId="0" xfId="14" applyNumberFormat="1" applyFont="1" applyBorder="1"/>
    <xf numFmtId="167" fontId="31" fillId="0" borderId="0" xfId="14" applyNumberFormat="1" applyFont="1" applyFill="1" applyBorder="1"/>
    <xf numFmtId="10" fontId="3" fillId="0" borderId="0" xfId="14" applyNumberFormat="1" applyFont="1" applyAlignment="1"/>
    <xf numFmtId="167" fontId="31" fillId="0" borderId="0" xfId="14" applyNumberFormat="1" applyFont="1"/>
    <xf numFmtId="167" fontId="31" fillId="0" borderId="0" xfId="14" applyNumberFormat="1" applyFont="1" applyFill="1"/>
    <xf numFmtId="10" fontId="3" fillId="0" borderId="0" xfId="0" applyNumberFormat="1" applyFont="1" applyAlignment="1"/>
    <xf numFmtId="41" fontId="3" fillId="0" borderId="0" xfId="14" applyNumberFormat="1" applyFill="1" applyAlignment="1"/>
    <xf numFmtId="41" fontId="3" fillId="0" borderId="0" xfId="14" applyNumberFormat="1" applyFont="1" applyFill="1" applyAlignment="1">
      <alignment horizontal="center"/>
    </xf>
    <xf numFmtId="41" fontId="3" fillId="0" borderId="6" xfId="14" applyNumberFormat="1" applyFont="1" applyFill="1" applyBorder="1" applyAlignment="1"/>
    <xf numFmtId="41" fontId="3" fillId="0" borderId="0" xfId="0" applyNumberFormat="1" applyFont="1" applyFill="1" applyAlignment="1"/>
    <xf numFmtId="41" fontId="3" fillId="0" borderId="6" xfId="14" applyNumberFormat="1" applyFont="1" applyFill="1" applyBorder="1"/>
    <xf numFmtId="171" fontId="3" fillId="0" borderId="2" xfId="4" applyNumberFormat="1" applyFont="1" applyFill="1" applyBorder="1"/>
    <xf numFmtId="1" fontId="4" fillId="0" borderId="0" xfId="0" applyNumberFormat="1" applyFont="1" applyFill="1" applyAlignment="1">
      <alignment horizontal="center"/>
    </xf>
    <xf numFmtId="171" fontId="0" fillId="0" borderId="2" xfId="4" applyNumberFormat="1" applyFont="1" applyBorder="1" applyAlignment="1"/>
    <xf numFmtId="41" fontId="0" fillId="0" borderId="0" xfId="0" applyNumberFormat="1" applyFill="1" applyBorder="1"/>
    <xf numFmtId="41" fontId="3" fillId="0" borderId="3" xfId="14" applyNumberFormat="1" applyFont="1" applyFill="1" applyBorder="1" applyAlignment="1">
      <alignment horizontal="center"/>
    </xf>
    <xf numFmtId="1" fontId="0" fillId="0" borderId="0" xfId="0" applyNumberFormat="1" applyFill="1" applyAlignment="1">
      <alignment horizontal="left" wrapText="1"/>
    </xf>
    <xf numFmtId="1" fontId="0" fillId="0" borderId="0" xfId="0" applyNumberFormat="1" applyFill="1" applyBorder="1" applyAlignment="1">
      <alignment horizontal="left" wrapText="1"/>
    </xf>
    <xf numFmtId="0" fontId="12" fillId="0" borderId="0" xfId="0" applyFont="1" applyFill="1" applyAlignment="1">
      <alignment horizontal="left"/>
    </xf>
    <xf numFmtId="43" fontId="3" fillId="0" borderId="0" xfId="4" applyFont="1" applyFill="1" applyBorder="1" applyAlignment="1">
      <alignment horizontal="center"/>
    </xf>
    <xf numFmtId="1" fontId="0" fillId="0" borderId="0" xfId="0" applyNumberFormat="1" applyFill="1" applyAlignment="1"/>
    <xf numFmtId="1" fontId="0" fillId="0" borderId="0" xfId="0" applyNumberFormat="1" applyFill="1"/>
    <xf numFmtId="0" fontId="0" fillId="0" borderId="0" xfId="0" applyFill="1" applyBorder="1" applyAlignment="1"/>
    <xf numFmtId="171" fontId="3" fillId="0" borderId="0" xfId="4" applyNumberFormat="1" applyFill="1" applyAlignment="1"/>
    <xf numFmtId="5" fontId="31" fillId="0" borderId="0" xfId="0" applyNumberFormat="1" applyFont="1" applyFill="1" applyAlignment="1">
      <alignment horizontal="right"/>
    </xf>
    <xf numFmtId="5" fontId="0" fillId="0" borderId="0" xfId="0" applyNumberFormat="1" applyFill="1"/>
    <xf numFmtId="5" fontId="31" fillId="0" borderId="2" xfId="0" applyNumberFormat="1" applyFont="1" applyFill="1" applyBorder="1" applyAlignment="1">
      <alignment horizontal="right"/>
    </xf>
    <xf numFmtId="5" fontId="0" fillId="0" borderId="0" xfId="0" applyNumberFormat="1" applyFill="1" applyBorder="1"/>
    <xf numFmtId="5" fontId="3" fillId="0" borderId="0" xfId="0" applyNumberFormat="1" applyFont="1" applyFill="1" applyAlignment="1">
      <alignment horizontal="right"/>
    </xf>
    <xf numFmtId="5" fontId="3" fillId="0" borderId="2" xfId="0" applyNumberFormat="1" applyFont="1" applyFill="1" applyBorder="1" applyAlignment="1">
      <alignment horizontal="right"/>
    </xf>
    <xf numFmtId="41" fontId="3" fillId="0" borderId="0" xfId="0" applyNumberFormat="1" applyFont="1" applyFill="1" applyAlignment="1">
      <alignment horizontal="center"/>
    </xf>
    <xf numFmtId="171" fontId="0" fillId="0" borderId="0" xfId="0" applyNumberFormat="1"/>
    <xf numFmtId="14" fontId="0" fillId="0" borderId="0" xfId="0" quotePrefix="1" applyNumberFormat="1" applyAlignment="1">
      <alignment horizontal="center"/>
    </xf>
    <xf numFmtId="43" fontId="3" fillId="0" borderId="0" xfId="4" applyFont="1" applyFill="1"/>
    <xf numFmtId="167" fontId="31" fillId="0" borderId="5" xfId="17" applyNumberFormat="1" applyFont="1" applyFill="1" applyBorder="1" applyAlignment="1">
      <alignment horizontal="center"/>
    </xf>
    <xf numFmtId="41" fontId="3" fillId="0" borderId="0" xfId="14" applyNumberFormat="1" applyFont="1" applyFill="1" applyBorder="1" applyAlignment="1"/>
    <xf numFmtId="3" fontId="31" fillId="0" borderId="0" xfId="14" applyNumberFormat="1" applyFont="1" applyFill="1" applyAlignment="1"/>
    <xf numFmtId="171" fontId="52" fillId="0" borderId="0" xfId="4" applyNumberFormat="1" applyFont="1" applyAlignment="1">
      <alignment horizontal="center"/>
    </xf>
    <xf numFmtId="14" fontId="0" fillId="0" borderId="0" xfId="0" applyNumberFormat="1"/>
    <xf numFmtId="0" fontId="0" fillId="0" borderId="0" xfId="0" applyAlignment="1">
      <alignment horizontal="center"/>
    </xf>
    <xf numFmtId="0" fontId="0" fillId="0" borderId="0" xfId="0" applyAlignment="1">
      <alignment horizontal="center"/>
    </xf>
    <xf numFmtId="0" fontId="0" fillId="0" borderId="0" xfId="0" applyBorder="1" applyAlignment="1">
      <alignment horizontal="center"/>
    </xf>
    <xf numFmtId="167" fontId="3" fillId="0" borderId="0" xfId="17" applyNumberFormat="1" applyBorder="1"/>
    <xf numFmtId="172" fontId="3" fillId="0" borderId="0" xfId="17" applyNumberFormat="1" applyFill="1" applyBorder="1"/>
    <xf numFmtId="172" fontId="3" fillId="0" borderId="0" xfId="17" applyNumberFormat="1" applyFont="1" applyFill="1" applyBorder="1" applyAlignment="1">
      <alignment horizontal="right"/>
    </xf>
    <xf numFmtId="0" fontId="0" fillId="0" borderId="0" xfId="0" applyAlignment="1">
      <alignment horizontal="center"/>
    </xf>
    <xf numFmtId="0" fontId="0" fillId="0" borderId="0" xfId="0" applyFill="1" applyAlignment="1">
      <alignment horizontal="center"/>
    </xf>
    <xf numFmtId="0" fontId="0" fillId="0" borderId="0" xfId="14" applyFont="1" applyAlignment="1">
      <alignment horizontal="left"/>
    </xf>
    <xf numFmtId="14" fontId="3" fillId="0" borderId="0" xfId="14" applyNumberFormat="1" applyAlignment="1">
      <alignment horizontal="center"/>
    </xf>
    <xf numFmtId="0" fontId="11" fillId="0" borderId="0" xfId="14" applyFont="1" applyBorder="1"/>
    <xf numFmtId="171" fontId="31" fillId="0" borderId="0" xfId="14" applyNumberFormat="1" applyFont="1" applyFill="1" applyAlignment="1"/>
    <xf numFmtId="171" fontId="31" fillId="0" borderId="0" xfId="0" applyNumberFormat="1" applyFont="1" applyFill="1"/>
    <xf numFmtId="171" fontId="31" fillId="0" borderId="0" xfId="14" applyNumberFormat="1" applyFont="1" applyAlignment="1"/>
    <xf numFmtId="171" fontId="31" fillId="0" borderId="0" xfId="0" applyNumberFormat="1" applyFont="1" applyFill="1" applyBorder="1"/>
    <xf numFmtId="15" fontId="3" fillId="0" borderId="0" xfId="14" applyNumberFormat="1" applyFont="1" applyAlignment="1">
      <alignment horizontal="center"/>
    </xf>
    <xf numFmtId="0" fontId="3" fillId="0" borderId="0" xfId="30"/>
    <xf numFmtId="0" fontId="3" fillId="0" borderId="0" xfId="30" applyAlignment="1">
      <alignment horizontal="center"/>
    </xf>
    <xf numFmtId="41" fontId="52" fillId="0" borderId="0" xfId="30" applyNumberFormat="1" applyFont="1"/>
    <xf numFmtId="41" fontId="3" fillId="0" borderId="0" xfId="30" applyNumberFormat="1"/>
    <xf numFmtId="41" fontId="31" fillId="0" borderId="0" xfId="30" applyNumberFormat="1" applyFont="1" applyFill="1"/>
    <xf numFmtId="43" fontId="0" fillId="0" borderId="2" xfId="4" applyFont="1" applyBorder="1" applyAlignment="1">
      <alignment horizontal="center"/>
    </xf>
    <xf numFmtId="0" fontId="3" fillId="0" borderId="0" xfId="30" applyFill="1"/>
    <xf numFmtId="43" fontId="3" fillId="0" borderId="0" xfId="4" applyFont="1" applyFill="1" applyAlignment="1">
      <alignment horizontal="center"/>
    </xf>
    <xf numFmtId="1" fontId="3" fillId="0" borderId="0" xfId="30" applyNumberFormat="1" applyAlignment="1">
      <alignment horizontal="center"/>
    </xf>
    <xf numFmtId="41" fontId="52" fillId="0" borderId="0" xfId="30" applyNumberFormat="1" applyFont="1" applyFill="1"/>
    <xf numFmtId="0" fontId="11" fillId="0" borderId="0" xfId="30" applyFont="1" applyFill="1"/>
    <xf numFmtId="164" fontId="3" fillId="0" borderId="0" xfId="30" applyNumberFormat="1" applyFill="1" applyAlignment="1">
      <alignment horizontal="center"/>
    </xf>
    <xf numFmtId="1" fontId="3" fillId="0" borderId="0" xfId="30" applyNumberFormat="1" applyFill="1" applyAlignment="1">
      <alignment horizontal="center"/>
    </xf>
    <xf numFmtId="0" fontId="3" fillId="0" borderId="0" xfId="30" applyFont="1" applyFill="1"/>
    <xf numFmtId="1" fontId="3" fillId="0" borderId="0" xfId="30" applyNumberFormat="1" applyFont="1" applyFill="1" applyAlignment="1">
      <alignment horizontal="center"/>
    </xf>
    <xf numFmtId="41" fontId="31" fillId="0" borderId="0" xfId="30" applyNumberFormat="1" applyFont="1" applyFill="1" applyAlignment="1">
      <alignment horizontal="center"/>
    </xf>
    <xf numFmtId="164" fontId="3" fillId="0" borderId="0" xfId="0" applyNumberFormat="1" applyFont="1" applyAlignment="1">
      <alignment horizontal="center"/>
    </xf>
    <xf numFmtId="0" fontId="3" fillId="0" borderId="0" xfId="30" applyFill="1" applyAlignment="1">
      <alignment horizontal="center"/>
    </xf>
    <xf numFmtId="0" fontId="3" fillId="0" borderId="0" xfId="30" applyFont="1" applyAlignment="1">
      <alignment horizontal="center"/>
    </xf>
    <xf numFmtId="164" fontId="3" fillId="0" borderId="0" xfId="30" applyNumberFormat="1" applyFont="1" applyFill="1" applyAlignment="1">
      <alignment horizontal="center"/>
    </xf>
    <xf numFmtId="171" fontId="31" fillId="0" borderId="0" xfId="31" applyNumberFormat="1" applyFont="1" applyFill="1" applyAlignment="1">
      <alignment horizontal="right"/>
    </xf>
    <xf numFmtId="171" fontId="31" fillId="0" borderId="0" xfId="31" applyNumberFormat="1" applyFont="1" applyFill="1"/>
    <xf numFmtId="0" fontId="3" fillId="0" borderId="0" xfId="30" applyFont="1" applyFill="1" applyAlignment="1">
      <alignment horizontal="center"/>
    </xf>
    <xf numFmtId="37" fontId="31" fillId="0" borderId="0" xfId="31" applyNumberFormat="1" applyFont="1" applyFill="1" applyAlignment="1">
      <alignment horizontal="right"/>
    </xf>
    <xf numFmtId="37" fontId="0" fillId="0" borderId="0" xfId="0" applyNumberFormat="1" applyFill="1" applyBorder="1" applyAlignment="1">
      <alignment horizontal="center"/>
    </xf>
    <xf numFmtId="0" fontId="3" fillId="0" borderId="0" xfId="30" applyFont="1" applyFill="1" applyBorder="1" applyAlignment="1" applyProtection="1">
      <alignment horizontal="left" vertical="top"/>
      <protection locked="0"/>
    </xf>
    <xf numFmtId="0" fontId="3" fillId="0" borderId="0" xfId="30" applyFont="1" applyFill="1" applyBorder="1"/>
    <xf numFmtId="41" fontId="52" fillId="0" borderId="0" xfId="30" applyNumberFormat="1" applyFont="1" applyFill="1" applyBorder="1" applyAlignment="1">
      <alignment horizontal="center"/>
    </xf>
    <xf numFmtId="41" fontId="52" fillId="0" borderId="0" xfId="30" applyNumberFormat="1" applyFont="1" applyBorder="1" applyAlignment="1">
      <alignment horizontal="center"/>
    </xf>
    <xf numFmtId="43" fontId="0" fillId="0" borderId="0" xfId="31" applyFont="1" applyFill="1" applyBorder="1" applyAlignment="1"/>
    <xf numFmtId="0" fontId="3" fillId="0" borderId="0" xfId="0" applyFont="1" applyFill="1" applyAlignment="1">
      <alignment horizontal="left"/>
    </xf>
    <xf numFmtId="0" fontId="3" fillId="0" borderId="0" xfId="0" applyFont="1" applyFill="1" applyAlignment="1">
      <alignment horizontal="left" indent="2"/>
    </xf>
    <xf numFmtId="0" fontId="3" fillId="0" borderId="0" xfId="0" applyFont="1" applyFill="1" applyAlignment="1">
      <alignment horizontal="left" indent="6"/>
    </xf>
    <xf numFmtId="171" fontId="52" fillId="0" borderId="0" xfId="31" applyNumberFormat="1" applyFont="1" applyFill="1" applyAlignment="1"/>
    <xf numFmtId="0" fontId="18" fillId="0" borderId="0" xfId="30" applyFont="1" applyFill="1" applyBorder="1" applyAlignment="1" applyProtection="1">
      <alignment horizontal="left" vertical="top"/>
      <protection locked="0"/>
    </xf>
    <xf numFmtId="0" fontId="3" fillId="0" borderId="0" xfId="30" applyFont="1"/>
    <xf numFmtId="171" fontId="52" fillId="0" borderId="0" xfId="31" quotePrefix="1" applyNumberFormat="1" applyFont="1" applyAlignment="1"/>
    <xf numFmtId="0" fontId="3" fillId="0" borderId="0" xfId="32"/>
    <xf numFmtId="164" fontId="3" fillId="0" borderId="0" xfId="32" applyNumberFormat="1" applyAlignment="1">
      <alignment horizontal="center"/>
    </xf>
    <xf numFmtId="0" fontId="3" fillId="0" borderId="0" xfId="32" applyAlignment="1">
      <alignment horizontal="right"/>
    </xf>
    <xf numFmtId="0" fontId="3" fillId="0" borderId="0" xfId="30" applyAlignment="1">
      <alignment horizontal="right"/>
    </xf>
    <xf numFmtId="0" fontId="3" fillId="0" borderId="0" xfId="32" applyFill="1" applyAlignment="1"/>
    <xf numFmtId="0" fontId="3" fillId="0" borderId="0" xfId="32" applyFill="1"/>
    <xf numFmtId="0" fontId="3" fillId="0" borderId="0" xfId="32" applyFill="1" applyAlignment="1">
      <alignment horizontal="center"/>
    </xf>
    <xf numFmtId="164" fontId="3" fillId="0" borderId="0" xfId="32" applyNumberFormat="1" applyFill="1" applyAlignment="1">
      <alignment horizontal="center"/>
    </xf>
    <xf numFmtId="0" fontId="3" fillId="0" borderId="0" xfId="32" applyAlignment="1">
      <alignment horizontal="center"/>
    </xf>
    <xf numFmtId="0" fontId="3" fillId="0" borderId="0" xfId="32" applyFont="1" applyFill="1"/>
    <xf numFmtId="0" fontId="4" fillId="0" borderId="0" xfId="32" applyFont="1" applyFill="1" applyAlignment="1">
      <alignment horizontal="center"/>
    </xf>
    <xf numFmtId="164" fontId="4" fillId="0" borderId="0" xfId="32" applyNumberFormat="1" applyFont="1" applyFill="1" applyAlignment="1">
      <alignment horizontal="center"/>
    </xf>
    <xf numFmtId="0" fontId="3" fillId="0" borderId="0" xfId="32" applyFont="1" applyFill="1" applyBorder="1" applyAlignment="1" applyProtection="1">
      <alignment horizontal="left" vertical="top"/>
      <protection locked="0"/>
    </xf>
    <xf numFmtId="41" fontId="3" fillId="0" borderId="0" xfId="32" applyNumberFormat="1" applyFill="1" applyBorder="1" applyAlignment="1">
      <alignment horizontal="center"/>
    </xf>
    <xf numFmtId="41" fontId="3" fillId="0" borderId="0" xfId="32" applyNumberFormat="1" applyFill="1" applyBorder="1" applyAlignment="1"/>
    <xf numFmtId="0" fontId="3" fillId="0" borderId="0" xfId="32" applyFont="1"/>
    <xf numFmtId="0" fontId="18" fillId="0" borderId="0" xfId="32" applyFont="1" applyFill="1" applyBorder="1" applyAlignment="1" applyProtection="1">
      <alignment horizontal="left" vertical="top"/>
      <protection locked="0"/>
    </xf>
    <xf numFmtId="0" fontId="3" fillId="0" borderId="0" xfId="32" applyAlignment="1"/>
    <xf numFmtId="41" fontId="3" fillId="0" borderId="0" xfId="32" applyNumberFormat="1" applyFill="1" applyAlignment="1">
      <alignment horizontal="center"/>
    </xf>
    <xf numFmtId="41" fontId="3" fillId="0" borderId="0" xfId="32" applyNumberFormat="1" applyAlignment="1">
      <alignment horizontal="center"/>
    </xf>
    <xf numFmtId="41" fontId="3" fillId="0" borderId="0" xfId="32" applyNumberFormat="1" applyBorder="1" applyAlignment="1"/>
    <xf numFmtId="0" fontId="54" fillId="0" borderId="0" xfId="32" applyFont="1" applyAlignment="1">
      <alignment vertical="top"/>
    </xf>
    <xf numFmtId="0" fontId="14" fillId="0" borderId="0" xfId="32" applyFont="1" applyFill="1" applyBorder="1" applyAlignment="1" applyProtection="1">
      <alignment horizontal="left" vertical="top"/>
      <protection locked="0"/>
    </xf>
    <xf numFmtId="176" fontId="5" fillId="0" borderId="0" xfId="32" applyNumberFormat="1" applyFont="1" applyBorder="1"/>
    <xf numFmtId="0" fontId="3" fillId="0" borderId="0" xfId="32" applyFont="1" applyFill="1" applyBorder="1"/>
    <xf numFmtId="41" fontId="3" fillId="0" borderId="0" xfId="32" applyNumberFormat="1" applyBorder="1" applyAlignment="1">
      <alignment horizontal="center"/>
    </xf>
    <xf numFmtId="41" fontId="3" fillId="0" borderId="0" xfId="32" applyNumberFormat="1"/>
    <xf numFmtId="3" fontId="3" fillId="0" borderId="0" xfId="32" applyNumberFormat="1"/>
    <xf numFmtId="1" fontId="3" fillId="0" borderId="0" xfId="30" quotePrefix="1" applyNumberFormat="1" applyFill="1" applyAlignment="1"/>
    <xf numFmtId="171" fontId="3" fillId="0" borderId="0" xfId="31" applyNumberFormat="1" applyFont="1" applyFill="1" applyBorder="1"/>
    <xf numFmtId="43" fontId="3" fillId="0" borderId="0" xfId="31" applyFont="1" applyFill="1" applyAlignment="1"/>
    <xf numFmtId="0" fontId="3" fillId="0" borderId="0" xfId="30" applyFill="1" applyBorder="1"/>
    <xf numFmtId="171" fontId="3" fillId="0" borderId="0" xfId="31" applyNumberFormat="1" applyFill="1"/>
    <xf numFmtId="1" fontId="3" fillId="0" borderId="0" xfId="30" applyNumberFormat="1" applyFill="1" applyBorder="1" applyAlignment="1">
      <alignment horizontal="left" wrapText="1"/>
    </xf>
    <xf numFmtId="1" fontId="3" fillId="0" borderId="3" xfId="30" applyNumberFormat="1" applyFill="1" applyBorder="1" applyAlignment="1">
      <alignment horizontal="center" wrapText="1"/>
    </xf>
    <xf numFmtId="43" fontId="3" fillId="0" borderId="3" xfId="31" applyFont="1" applyFill="1" applyBorder="1" applyAlignment="1">
      <alignment horizontal="center"/>
    </xf>
    <xf numFmtId="171" fontId="3" fillId="0" borderId="3" xfId="31" applyNumberFormat="1" applyFont="1" applyFill="1" applyBorder="1" applyAlignment="1">
      <alignment horizontal="center"/>
    </xf>
    <xf numFmtId="0" fontId="4" fillId="0" borderId="0" xfId="30" applyFont="1" applyFill="1"/>
    <xf numFmtId="43" fontId="3" fillId="0" borderId="0" xfId="31" quotePrefix="1" applyFill="1" applyAlignment="1"/>
    <xf numFmtId="0" fontId="11" fillId="0" borderId="0" xfId="30" applyFont="1"/>
    <xf numFmtId="37" fontId="0" fillId="2" borderId="0" xfId="0" applyNumberFormat="1" applyFill="1" applyBorder="1" applyAlignment="1">
      <alignment horizontal="center"/>
    </xf>
    <xf numFmtId="171" fontId="0" fillId="0" borderId="0" xfId="4" applyNumberFormat="1" applyFont="1" applyBorder="1" applyAlignment="1">
      <alignment horizontal="center"/>
    </xf>
    <xf numFmtId="171" fontId="0" fillId="0" borderId="2" xfId="4" applyNumberFormat="1" applyFont="1" applyBorder="1" applyAlignment="1">
      <alignment horizontal="center"/>
    </xf>
    <xf numFmtId="171" fontId="3" fillId="0" borderId="0" xfId="4" applyNumberFormat="1" applyFont="1" applyAlignment="1">
      <alignment horizontal="center"/>
    </xf>
    <xf numFmtId="41" fontId="0" fillId="10" borderId="0" xfId="0" applyNumberFormat="1" applyFill="1"/>
    <xf numFmtId="171" fontId="0" fillId="10" borderId="8" xfId="4" applyNumberFormat="1" applyFont="1" applyFill="1" applyBorder="1" applyAlignment="1">
      <alignment horizontal="center"/>
    </xf>
    <xf numFmtId="171" fontId="0" fillId="10" borderId="0" xfId="4" applyNumberFormat="1" applyFont="1" applyFill="1" applyAlignment="1"/>
    <xf numFmtId="41" fontId="3" fillId="0" borderId="0" xfId="30" applyNumberFormat="1" applyFont="1" applyFill="1" applyBorder="1" applyAlignment="1">
      <alignment horizontal="center"/>
    </xf>
    <xf numFmtId="41" fontId="31" fillId="0" borderId="0" xfId="30" applyNumberFormat="1" applyFont="1" applyBorder="1"/>
    <xf numFmtId="41" fontId="31" fillId="0" borderId="0" xfId="30" applyNumberFormat="1" applyFont="1"/>
    <xf numFmtId="41" fontId="31" fillId="0" borderId="3" xfId="30" applyNumberFormat="1" applyFont="1" applyBorder="1"/>
    <xf numFmtId="41" fontId="31" fillId="0" borderId="3" xfId="30" applyNumberFormat="1" applyFont="1" applyFill="1" applyBorder="1"/>
    <xf numFmtId="41" fontId="0" fillId="10" borderId="0" xfId="0" applyNumberFormat="1" applyFill="1" applyBorder="1"/>
    <xf numFmtId="41" fontId="3" fillId="0" borderId="2" xfId="30" applyNumberFormat="1" applyBorder="1"/>
    <xf numFmtId="0" fontId="3" fillId="0" borderId="0" xfId="30" applyAlignment="1">
      <alignment horizontal="left"/>
    </xf>
    <xf numFmtId="0" fontId="3" fillId="0" borderId="0" xfId="30" applyFont="1" applyAlignment="1">
      <alignment horizontal="left"/>
    </xf>
    <xf numFmtId="0" fontId="12" fillId="0" borderId="0" xfId="30" applyFont="1"/>
    <xf numFmtId="41" fontId="3" fillId="0" borderId="0" xfId="30" applyNumberFormat="1" applyBorder="1"/>
    <xf numFmtId="41" fontId="3" fillId="0" borderId="6" xfId="30" applyNumberFormat="1" applyBorder="1"/>
    <xf numFmtId="41" fontId="3" fillId="0" borderId="8" xfId="30" applyNumberFormat="1" applyBorder="1"/>
    <xf numFmtId="0" fontId="0" fillId="0" borderId="0" xfId="0" applyAlignment="1">
      <alignment horizontal="center"/>
    </xf>
    <xf numFmtId="0" fontId="0" fillId="0" borderId="0" xfId="0" applyFill="1" applyAlignment="1">
      <alignment horizontal="center"/>
    </xf>
    <xf numFmtId="0" fontId="0" fillId="0" borderId="0" xfId="0" applyBorder="1" applyAlignment="1">
      <alignment horizontal="center"/>
    </xf>
    <xf numFmtId="171" fontId="31" fillId="0" borderId="6" xfId="14" applyNumberFormat="1" applyFont="1" applyFill="1" applyBorder="1"/>
    <xf numFmtId="171" fontId="3" fillId="0" borderId="0" xfId="14" applyNumberFormat="1" applyFont="1"/>
    <xf numFmtId="171" fontId="3" fillId="0" borderId="0" xfId="31" applyNumberFormat="1" applyFill="1" applyBorder="1"/>
    <xf numFmtId="3" fontId="3" fillId="0" borderId="0" xfId="30" applyNumberFormat="1" applyFill="1"/>
    <xf numFmtId="171" fontId="3" fillId="0" borderId="2" xfId="31" applyNumberFormat="1" applyFill="1" applyBorder="1"/>
    <xf numFmtId="171" fontId="0" fillId="0" borderId="0" xfId="31" applyNumberFormat="1" applyFont="1" applyFill="1"/>
    <xf numFmtId="1" fontId="3" fillId="0" borderId="0" xfId="30" quotePrefix="1" applyNumberFormat="1" applyFont="1" applyFill="1" applyAlignment="1"/>
    <xf numFmtId="3" fontId="3" fillId="0" borderId="0" xfId="30" applyNumberFormat="1" applyFont="1" applyFill="1"/>
    <xf numFmtId="171" fontId="55" fillId="0" borderId="0" xfId="31" applyNumberFormat="1" applyFont="1" applyFill="1"/>
    <xf numFmtId="171" fontId="55" fillId="0" borderId="2" xfId="31" applyNumberFormat="1" applyFont="1" applyFill="1" applyBorder="1"/>
    <xf numFmtId="14" fontId="0" fillId="0" borderId="0" xfId="0" applyNumberFormat="1" applyBorder="1" applyAlignment="1">
      <alignment horizontal="center"/>
    </xf>
    <xf numFmtId="0" fontId="0" fillId="9" borderId="0" xfId="0" applyFill="1"/>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xf>
    <xf numFmtId="0" fontId="3" fillId="0" borderId="0" xfId="14" applyAlignment="1">
      <alignment horizontal="center"/>
    </xf>
    <xf numFmtId="0" fontId="0" fillId="0" borderId="0" xfId="0" applyFill="1" applyAlignment="1">
      <alignment horizontal="center"/>
    </xf>
    <xf numFmtId="0" fontId="56" fillId="0" borderId="0" xfId="0" applyFont="1" applyAlignment="1">
      <alignment horizontal="center"/>
    </xf>
    <xf numFmtId="0" fontId="3" fillId="0" borderId="0" xfId="0" applyFont="1" applyFill="1" applyAlignment="1">
      <alignment horizontal="center"/>
    </xf>
    <xf numFmtId="166" fontId="4" fillId="0" borderId="0" xfId="0" quotePrefix="1" applyNumberFormat="1" applyFont="1" applyFill="1" applyAlignment="1">
      <alignment horizontal="center"/>
    </xf>
    <xf numFmtId="43" fontId="3" fillId="0" borderId="0" xfId="4" applyFont="1" applyBorder="1" applyAlignment="1">
      <alignment horizontal="left" wrapText="1"/>
    </xf>
    <xf numFmtId="41" fontId="3" fillId="0" borderId="0" xfId="0" applyNumberFormat="1" applyFont="1" applyFill="1" applyBorder="1" applyAlignment="1">
      <alignment horizontal="center"/>
    </xf>
    <xf numFmtId="0" fontId="0" fillId="0" borderId="0" xfId="0" applyFill="1" applyAlignment="1">
      <alignment horizontal="center"/>
    </xf>
    <xf numFmtId="165" fontId="0" fillId="0" borderId="0" xfId="0" applyNumberFormat="1" applyFill="1" applyAlignment="1">
      <alignment horizontal="center"/>
    </xf>
    <xf numFmtId="10" fontId="0" fillId="0" borderId="0" xfId="0" applyNumberFormat="1" applyFill="1"/>
    <xf numFmtId="10" fontId="6" fillId="0" borderId="0" xfId="0" applyNumberFormat="1" applyFont="1" applyFill="1"/>
    <xf numFmtId="41" fontId="3" fillId="0" borderId="2" xfId="0" applyNumberFormat="1" applyFont="1" applyFill="1" applyBorder="1" applyAlignment="1"/>
    <xf numFmtId="0" fontId="3" fillId="0" borderId="0" xfId="30" quotePrefix="1" applyFill="1"/>
    <xf numFmtId="41" fontId="52" fillId="0" borderId="0" xfId="30" applyNumberFormat="1" applyFont="1" applyFill="1" applyAlignment="1">
      <alignment horizontal="center"/>
    </xf>
    <xf numFmtId="0" fontId="0" fillId="0" borderId="0" xfId="0" applyFill="1" applyAlignment="1">
      <alignment horizontal="center"/>
    </xf>
    <xf numFmtId="0" fontId="12" fillId="0" borderId="0" xfId="30" applyFont="1" applyFill="1" applyAlignment="1">
      <alignment horizontal="left"/>
    </xf>
    <xf numFmtId="1" fontId="4" fillId="0" borderId="0" xfId="30" applyNumberFormat="1" applyFont="1" applyFill="1" applyAlignment="1">
      <alignment horizontal="center"/>
    </xf>
    <xf numFmtId="0" fontId="4" fillId="0" borderId="0" xfId="30" applyFont="1" applyFill="1" applyAlignment="1">
      <alignment horizontal="center"/>
    </xf>
    <xf numFmtId="171" fontId="0" fillId="0" borderId="6" xfId="4" applyNumberFormat="1" applyFont="1" applyBorder="1"/>
    <xf numFmtId="0" fontId="0" fillId="0" borderId="0" xfId="0" applyAlignment="1">
      <alignment horizontal="center"/>
    </xf>
    <xf numFmtId="15" fontId="0" fillId="0" borderId="0" xfId="0" applyNumberFormat="1" applyAlignment="1">
      <alignment horizontal="center"/>
    </xf>
    <xf numFmtId="10" fontId="0" fillId="0" borderId="0" xfId="17" applyNumberFormat="1" applyFont="1" applyAlignment="1">
      <alignment horizontal="center"/>
    </xf>
    <xf numFmtId="10" fontId="0" fillId="0" borderId="0" xfId="17" applyNumberFormat="1" applyFont="1"/>
    <xf numFmtId="171" fontId="2" fillId="0" borderId="0" xfId="4" applyNumberFormat="1" applyFont="1" applyAlignment="1">
      <alignment horizontal="center"/>
    </xf>
    <xf numFmtId="10" fontId="2" fillId="0" borderId="0" xfId="17" applyNumberFormat="1" applyFont="1" applyAlignment="1">
      <alignment horizontal="center"/>
    </xf>
    <xf numFmtId="177" fontId="0" fillId="0" borderId="0" xfId="0" applyNumberFormat="1"/>
    <xf numFmtId="0" fontId="0" fillId="0" borderId="0" xfId="0" applyAlignment="1">
      <alignment horizontal="center"/>
    </xf>
    <xf numFmtId="0" fontId="0" fillId="0" borderId="3" xfId="0" applyBorder="1" applyAlignment="1">
      <alignment horizontal="center" wrapText="1"/>
    </xf>
    <xf numFmtId="178" fontId="0" fillId="0" borderId="0" xfId="38" applyNumberFormat="1" applyFont="1"/>
    <xf numFmtId="178" fontId="0" fillId="0" borderId="6" xfId="38" applyNumberFormat="1" applyFont="1" applyBorder="1"/>
    <xf numFmtId="178" fontId="0" fillId="0" borderId="8" xfId="0" applyNumberFormat="1" applyBorder="1"/>
    <xf numFmtId="178" fontId="0" fillId="0" borderId="0" xfId="0" applyNumberFormat="1"/>
    <xf numFmtId="0" fontId="0" fillId="0" borderId="10" xfId="0" applyBorder="1" applyAlignment="1">
      <alignment horizontal="center"/>
    </xf>
    <xf numFmtId="179" fontId="0" fillId="0" borderId="0" xfId="38" applyNumberFormat="1" applyFont="1"/>
    <xf numFmtId="179" fontId="0" fillId="0" borderId="3" xfId="0" applyNumberFormat="1" applyBorder="1"/>
    <xf numFmtId="0" fontId="1" fillId="0" borderId="0" xfId="39"/>
    <xf numFmtId="0" fontId="1" fillId="0" borderId="0" xfId="39" applyAlignment="1">
      <alignment horizontal="right"/>
    </xf>
    <xf numFmtId="0" fontId="59" fillId="0" borderId="3" xfId="39" applyFont="1" applyBorder="1" applyAlignment="1">
      <alignment horizontal="center" wrapText="1"/>
    </xf>
    <xf numFmtId="0" fontId="59" fillId="0" borderId="3" xfId="39" applyFont="1" applyBorder="1" applyAlignment="1">
      <alignment horizontal="center"/>
    </xf>
    <xf numFmtId="0" fontId="1" fillId="0" borderId="0" xfId="39" applyAlignment="1">
      <alignment horizontal="center"/>
    </xf>
    <xf numFmtId="178" fontId="1" fillId="0" borderId="0" xfId="39" applyNumberFormat="1"/>
    <xf numFmtId="178" fontId="1" fillId="0" borderId="0" xfId="37" applyNumberFormat="1" applyFont="1"/>
    <xf numFmtId="171" fontId="0" fillId="0" borderId="0" xfId="40" applyNumberFormat="1" applyFont="1"/>
    <xf numFmtId="44" fontId="0" fillId="0" borderId="0" xfId="41" applyFont="1"/>
    <xf numFmtId="43" fontId="0" fillId="0" borderId="0" xfId="40" applyFont="1"/>
    <xf numFmtId="0" fontId="1" fillId="0" borderId="2" xfId="39" applyBorder="1"/>
    <xf numFmtId="178" fontId="1" fillId="0" borderId="2" xfId="39" applyNumberFormat="1" applyBorder="1"/>
    <xf numFmtId="171" fontId="1" fillId="0" borderId="2" xfId="39" applyNumberFormat="1" applyBorder="1"/>
    <xf numFmtId="180" fontId="1" fillId="0" borderId="0" xfId="39" applyNumberFormat="1"/>
    <xf numFmtId="0" fontId="1" fillId="0" borderId="3" xfId="39" applyFont="1" applyBorder="1" applyAlignment="1">
      <alignment horizontal="center" wrapText="1"/>
    </xf>
    <xf numFmtId="0" fontId="1" fillId="0" borderId="0" xfId="39" applyFont="1"/>
    <xf numFmtId="0" fontId="1" fillId="0" borderId="0" xfId="39" applyFont="1" applyAlignment="1">
      <alignment horizontal="center"/>
    </xf>
    <xf numFmtId="171" fontId="60" fillId="0" borderId="3" xfId="40" applyNumberFormat="1" applyFont="1" applyBorder="1" applyAlignment="1">
      <alignment horizontal="center" wrapText="1"/>
    </xf>
    <xf numFmtId="0" fontId="1" fillId="0" borderId="3" xfId="39" applyFont="1" applyBorder="1" applyAlignment="1">
      <alignment horizontal="center"/>
    </xf>
    <xf numFmtId="171" fontId="60" fillId="0" borderId="0" xfId="40" applyNumberFormat="1" applyFont="1" applyAlignment="1">
      <alignment horizontal="center"/>
    </xf>
    <xf numFmtId="0" fontId="1" fillId="8" borderId="6" xfId="39" quotePrefix="1" applyFont="1" applyFill="1" applyBorder="1"/>
    <xf numFmtId="0" fontId="1" fillId="8" borderId="6" xfId="39" quotePrefix="1" applyFont="1" applyFill="1" applyBorder="1" applyAlignment="1">
      <alignment horizontal="center"/>
    </xf>
    <xf numFmtId="171" fontId="60" fillId="8" borderId="6" xfId="40" quotePrefix="1" applyNumberFormat="1" applyFont="1" applyFill="1" applyBorder="1" applyAlignment="1">
      <alignment horizontal="center"/>
    </xf>
    <xf numFmtId="171" fontId="60" fillId="8" borderId="6" xfId="40" quotePrefix="1" applyNumberFormat="1" applyFont="1" applyFill="1" applyBorder="1"/>
    <xf numFmtId="0" fontId="1" fillId="0" borderId="0" xfId="39" applyFont="1" applyFill="1" applyAlignment="1">
      <alignment horizontal="center"/>
    </xf>
    <xf numFmtId="0" fontId="1" fillId="0" borderId="0" xfId="39" applyFont="1" applyFill="1"/>
    <xf numFmtId="0" fontId="61" fillId="0" borderId="0" xfId="42" applyFont="1" applyFill="1" applyBorder="1" applyAlignment="1"/>
    <xf numFmtId="0" fontId="1" fillId="0" borderId="0" xfId="39" quotePrefix="1" applyFont="1" applyFill="1" applyBorder="1"/>
    <xf numFmtId="0" fontId="1" fillId="0" borderId="0" xfId="39" quotePrefix="1" applyFont="1" applyFill="1" applyBorder="1" applyAlignment="1">
      <alignment horizontal="center"/>
    </xf>
    <xf numFmtId="171" fontId="60" fillId="0" borderId="0" xfId="40" quotePrefix="1" applyNumberFormat="1" applyFont="1" applyFill="1" applyBorder="1" applyAlignment="1">
      <alignment horizontal="center"/>
    </xf>
    <xf numFmtId="171" fontId="60" fillId="0" borderId="0" xfId="40" quotePrefix="1" applyNumberFormat="1" applyFont="1" applyFill="1" applyBorder="1"/>
    <xf numFmtId="0" fontId="62" fillId="0" borderId="0" xfId="43" applyFont="1" applyFill="1" applyBorder="1" applyAlignment="1"/>
    <xf numFmtId="0" fontId="1" fillId="0" borderId="0" xfId="39" applyFont="1" applyBorder="1"/>
    <xf numFmtId="0" fontId="1" fillId="0" borderId="0" xfId="39" applyFont="1" applyBorder="1" applyAlignment="1">
      <alignment horizontal="center"/>
    </xf>
    <xf numFmtId="0" fontId="62" fillId="0" borderId="0" xfId="43" applyFont="1" applyFill="1" applyBorder="1" applyAlignment="1">
      <alignment horizontal="center"/>
    </xf>
    <xf numFmtId="171" fontId="62" fillId="0" borderId="0" xfId="40" applyNumberFormat="1" applyFont="1" applyFill="1" applyBorder="1" applyAlignment="1">
      <alignment horizontal="center"/>
    </xf>
    <xf numFmtId="171" fontId="60" fillId="0" borderId="0" xfId="40" applyNumberFormat="1" applyFont="1" applyBorder="1"/>
    <xf numFmtId="171" fontId="62" fillId="0" borderId="0" xfId="40" applyNumberFormat="1" applyFont="1" applyFill="1" applyBorder="1" applyAlignment="1">
      <alignment horizontal="right"/>
    </xf>
    <xf numFmtId="179" fontId="62" fillId="0" borderId="0" xfId="41" applyNumberFormat="1" applyFont="1" applyFill="1" applyBorder="1" applyAlignment="1">
      <alignment horizontal="right"/>
    </xf>
    <xf numFmtId="178" fontId="1" fillId="0" borderId="0" xfId="39" applyNumberFormat="1" applyFont="1" applyBorder="1"/>
    <xf numFmtId="44" fontId="60" fillId="0" borderId="0" xfId="41" applyFont="1" applyBorder="1"/>
    <xf numFmtId="44" fontId="1" fillId="0" borderId="0" xfId="39" applyNumberFormat="1" applyFont="1" applyBorder="1"/>
    <xf numFmtId="179" fontId="1" fillId="0" borderId="0" xfId="37" applyNumberFormat="1" applyFont="1"/>
    <xf numFmtId="0" fontId="61" fillId="0" borderId="0" xfId="42" applyFont="1" applyBorder="1" applyAlignment="1"/>
    <xf numFmtId="171" fontId="59" fillId="0" borderId="7" xfId="40" applyNumberFormat="1" applyFont="1" applyBorder="1" applyAlignment="1">
      <alignment horizontal="center"/>
    </xf>
    <xf numFmtId="171" fontId="59" fillId="0" borderId="7" xfId="40" applyNumberFormat="1" applyFont="1" applyBorder="1"/>
    <xf numFmtId="178" fontId="59" fillId="0" borderId="7" xfId="39" applyNumberFormat="1" applyFont="1" applyBorder="1"/>
    <xf numFmtId="43" fontId="60" fillId="0" borderId="0" xfId="40" applyNumberFormat="1" applyFont="1" applyBorder="1" applyAlignment="1">
      <alignment horizontal="center"/>
    </xf>
    <xf numFmtId="171" fontId="1" fillId="0" borderId="0" xfId="39" applyNumberFormat="1" applyFont="1"/>
    <xf numFmtId="44" fontId="1" fillId="0" borderId="0" xfId="39" applyNumberFormat="1" applyFont="1"/>
    <xf numFmtId="171" fontId="60" fillId="0" borderId="0" xfId="40" applyNumberFormat="1" applyFont="1" applyBorder="1" applyAlignment="1">
      <alignment horizontal="center"/>
    </xf>
    <xf numFmtId="178" fontId="1" fillId="0" borderId="0" xfId="39" applyNumberFormat="1" applyFont="1"/>
    <xf numFmtId="179" fontId="60" fillId="0" borderId="0" xfId="41" applyNumberFormat="1" applyFont="1" applyBorder="1"/>
    <xf numFmtId="178" fontId="59" fillId="0" borderId="7" xfId="39" applyNumberFormat="1" applyFont="1" applyFill="1" applyBorder="1"/>
    <xf numFmtId="179" fontId="1" fillId="0" borderId="0" xfId="39" applyNumberFormat="1" applyFont="1" applyBorder="1"/>
    <xf numFmtId="171" fontId="63" fillId="0" borderId="7" xfId="40" applyNumberFormat="1" applyFont="1" applyFill="1" applyBorder="1" applyAlignment="1">
      <alignment horizontal="right"/>
    </xf>
    <xf numFmtId="0" fontId="60" fillId="0" borderId="0" xfId="42" applyFont="1" applyBorder="1" applyAlignment="1"/>
    <xf numFmtId="0" fontId="60" fillId="0" borderId="0" xfId="42" applyFont="1" applyBorder="1" applyAlignment="1">
      <alignment horizontal="center"/>
    </xf>
    <xf numFmtId="171" fontId="60" fillId="0" borderId="0" xfId="40" applyNumberFormat="1" applyFont="1"/>
    <xf numFmtId="179" fontId="60" fillId="0" borderId="0" xfId="41" applyNumberFormat="1" applyFont="1" applyBorder="1" applyAlignment="1">
      <alignment horizontal="right"/>
    </xf>
    <xf numFmtId="178" fontId="60" fillId="0" borderId="0" xfId="41" applyNumberFormat="1" applyFont="1"/>
    <xf numFmtId="44" fontId="60" fillId="0" borderId="0" xfId="41" applyFont="1"/>
    <xf numFmtId="171" fontId="60" fillId="0" borderId="0" xfId="40" applyNumberFormat="1" applyFont="1" applyBorder="1" applyAlignment="1">
      <alignment horizontal="right"/>
    </xf>
    <xf numFmtId="171" fontId="60" fillId="0" borderId="3" xfId="40" applyNumberFormat="1" applyFont="1" applyBorder="1" applyAlignment="1">
      <alignment horizontal="center"/>
    </xf>
    <xf numFmtId="171" fontId="60" fillId="0" borderId="3" xfId="40" applyNumberFormat="1" applyFont="1" applyBorder="1"/>
    <xf numFmtId="178" fontId="60" fillId="0" borderId="3" xfId="41" applyNumberFormat="1" applyFont="1" applyBorder="1"/>
    <xf numFmtId="178" fontId="1" fillId="0" borderId="3" xfId="39" applyNumberFormat="1" applyFont="1" applyBorder="1"/>
    <xf numFmtId="171" fontId="64" fillId="0" borderId="0" xfId="40" applyNumberFormat="1" applyFont="1" applyBorder="1" applyAlignment="1">
      <alignment horizontal="center"/>
    </xf>
    <xf numFmtId="171" fontId="59" fillId="0" borderId="0" xfId="40" applyNumberFormat="1" applyFont="1"/>
    <xf numFmtId="178" fontId="59" fillId="0" borderId="0" xfId="41" applyNumberFormat="1" applyFont="1"/>
    <xf numFmtId="0" fontId="59" fillId="0" borderId="0" xfId="39" applyFont="1"/>
    <xf numFmtId="178" fontId="59" fillId="0" borderId="0" xfId="39" applyNumberFormat="1" applyFont="1"/>
    <xf numFmtId="0" fontId="60" fillId="0" borderId="0" xfId="42" applyFont="1" applyFill="1" applyBorder="1" applyAlignment="1"/>
    <xf numFmtId="0" fontId="60" fillId="0" borderId="0" xfId="42" applyFont="1" applyFill="1" applyBorder="1" applyAlignment="1">
      <alignment horizontal="center"/>
    </xf>
    <xf numFmtId="171" fontId="60" fillId="0" borderId="0" xfId="40" applyNumberFormat="1" applyFont="1" applyFill="1" applyBorder="1" applyAlignment="1">
      <alignment horizontal="center"/>
    </xf>
    <xf numFmtId="179" fontId="60" fillId="0" borderId="0" xfId="41" applyNumberFormat="1" applyFont="1" applyFill="1" applyBorder="1" applyAlignment="1">
      <alignment horizontal="right"/>
    </xf>
    <xf numFmtId="171" fontId="60" fillId="0" borderId="3" xfId="40" applyNumberFormat="1" applyFont="1" applyFill="1" applyBorder="1" applyAlignment="1">
      <alignment horizontal="center"/>
    </xf>
    <xf numFmtId="44" fontId="1" fillId="0" borderId="3" xfId="39" applyNumberFormat="1" applyFont="1" applyBorder="1"/>
    <xf numFmtId="44" fontId="59" fillId="0" borderId="0" xfId="39" applyNumberFormat="1" applyFont="1"/>
    <xf numFmtId="171" fontId="60" fillId="0" borderId="3" xfId="40" applyNumberFormat="1" applyFont="1" applyBorder="1" applyAlignment="1">
      <alignment horizontal="right"/>
    </xf>
    <xf numFmtId="179" fontId="60" fillId="0" borderId="0" xfId="41" applyNumberFormat="1" applyFont="1"/>
    <xf numFmtId="44" fontId="60" fillId="0" borderId="3" xfId="41" applyFont="1" applyBorder="1"/>
    <xf numFmtId="171" fontId="64" fillId="0" borderId="0" xfId="40" applyNumberFormat="1" applyFont="1" applyFill="1" applyBorder="1" applyAlignment="1">
      <alignment horizontal="center"/>
    </xf>
    <xf numFmtId="171" fontId="64" fillId="0" borderId="0" xfId="40" applyNumberFormat="1" applyFont="1" applyBorder="1" applyAlignment="1">
      <alignment horizontal="right"/>
    </xf>
    <xf numFmtId="44" fontId="59" fillId="0" borderId="0" xfId="41" applyFont="1"/>
    <xf numFmtId="178" fontId="59" fillId="0" borderId="7" xfId="41" applyNumberFormat="1" applyFont="1" applyBorder="1"/>
    <xf numFmtId="171" fontId="59" fillId="0" borderId="7" xfId="40" applyNumberFormat="1" applyFont="1" applyFill="1" applyBorder="1" applyAlignment="1">
      <alignment horizontal="center"/>
    </xf>
    <xf numFmtId="171" fontId="60" fillId="0" borderId="0" xfId="40" applyNumberFormat="1" applyFont="1" applyFill="1" applyAlignment="1">
      <alignment horizontal="center"/>
    </xf>
    <xf numFmtId="44" fontId="60" fillId="0" borderId="0" xfId="41" applyFont="1" applyFill="1"/>
    <xf numFmtId="44" fontId="1" fillId="0" borderId="0" xfId="37" applyFont="1"/>
    <xf numFmtId="171" fontId="60" fillId="0" borderId="0" xfId="40" applyNumberFormat="1" applyFont="1" applyFill="1"/>
    <xf numFmtId="171" fontId="60" fillId="0" borderId="0" xfId="40" applyNumberFormat="1" applyFont="1" applyFill="1" applyBorder="1" applyAlignment="1">
      <alignment horizontal="right"/>
    </xf>
    <xf numFmtId="178" fontId="60" fillId="0" borderId="0" xfId="41" applyNumberFormat="1" applyFont="1" applyFill="1"/>
    <xf numFmtId="178" fontId="1" fillId="0" borderId="0" xfId="39" applyNumberFormat="1" applyFont="1" applyFill="1"/>
    <xf numFmtId="178" fontId="59" fillId="0" borderId="0" xfId="39" applyNumberFormat="1" applyFont="1" applyBorder="1"/>
    <xf numFmtId="44" fontId="59" fillId="0" borderId="7" xfId="39" applyNumberFormat="1" applyFont="1" applyBorder="1"/>
    <xf numFmtId="171" fontId="59" fillId="0" borderId="0" xfId="40" applyNumberFormat="1" applyFont="1" applyBorder="1" applyAlignment="1">
      <alignment horizontal="center"/>
    </xf>
    <xf numFmtId="171" fontId="59" fillId="0" borderId="0" xfId="40" applyNumberFormat="1" applyFont="1" applyBorder="1"/>
    <xf numFmtId="178" fontId="60" fillId="0" borderId="0" xfId="41" applyNumberFormat="1" applyFont="1" applyAlignment="1">
      <alignment horizontal="center"/>
    </xf>
    <xf numFmtId="44" fontId="60" fillId="0" borderId="0" xfId="41" applyFont="1" applyAlignment="1">
      <alignment horizontal="center"/>
    </xf>
    <xf numFmtId="0" fontId="64" fillId="0" borderId="2" xfId="42" applyFont="1" applyFill="1" applyBorder="1" applyAlignment="1"/>
    <xf numFmtId="171" fontId="64" fillId="0" borderId="2" xfId="42" applyNumberFormat="1" applyFont="1" applyFill="1" applyBorder="1" applyAlignment="1"/>
    <xf numFmtId="178" fontId="64" fillId="0" borderId="2" xfId="42" applyNumberFormat="1" applyFont="1" applyFill="1" applyBorder="1" applyAlignment="1"/>
    <xf numFmtId="43" fontId="60" fillId="0" borderId="0" xfId="40" applyNumberFormat="1" applyFont="1" applyAlignment="1">
      <alignment horizontal="center"/>
    </xf>
    <xf numFmtId="9" fontId="60" fillId="0" borderId="0" xfId="44" applyFont="1"/>
    <xf numFmtId="0" fontId="65" fillId="0" borderId="3" xfId="39" applyFont="1" applyBorder="1" applyAlignment="1">
      <alignment horizontal="center" wrapText="1"/>
    </xf>
    <xf numFmtId="0" fontId="65" fillId="0" borderId="0" xfId="39" applyFont="1"/>
    <xf numFmtId="0" fontId="65" fillId="0" borderId="0" xfId="39" applyFont="1" applyAlignment="1">
      <alignment horizontal="center"/>
    </xf>
    <xf numFmtId="171" fontId="66" fillId="0" borderId="3" xfId="40" applyNumberFormat="1" applyFont="1" applyBorder="1" applyAlignment="1">
      <alignment horizontal="center" wrapText="1"/>
    </xf>
    <xf numFmtId="0" fontId="65" fillId="0" borderId="0" xfId="39" applyFont="1" applyAlignment="1">
      <alignment horizontal="center" wrapText="1"/>
    </xf>
    <xf numFmtId="171" fontId="66" fillId="0" borderId="0" xfId="40" applyNumberFormat="1" applyFont="1" applyAlignment="1">
      <alignment horizontal="center"/>
    </xf>
    <xf numFmtId="0" fontId="65" fillId="8" borderId="6" xfId="39" quotePrefix="1" applyFont="1" applyFill="1" applyBorder="1"/>
    <xf numFmtId="0" fontId="65" fillId="0" borderId="0" xfId="39" applyFont="1" applyFill="1"/>
    <xf numFmtId="0" fontId="67" fillId="0" borderId="0" xfId="42" applyFont="1" applyFill="1" applyBorder="1" applyAlignment="1"/>
    <xf numFmtId="0" fontId="65" fillId="0" borderId="0" xfId="39" quotePrefix="1" applyFont="1" applyFill="1" applyBorder="1"/>
    <xf numFmtId="0" fontId="65" fillId="0" borderId="0" xfId="39" quotePrefix="1" applyFont="1" applyFill="1" applyBorder="1" applyAlignment="1">
      <alignment horizontal="center"/>
    </xf>
    <xf numFmtId="171" fontId="66" fillId="0" borderId="0" xfId="40" quotePrefix="1" applyNumberFormat="1" applyFont="1" applyFill="1" applyBorder="1" applyAlignment="1">
      <alignment horizontal="center"/>
    </xf>
    <xf numFmtId="171" fontId="66" fillId="0" borderId="0" xfId="40" quotePrefix="1" applyNumberFormat="1" applyFont="1" applyFill="1" applyBorder="1"/>
    <xf numFmtId="0" fontId="68" fillId="0" borderId="0" xfId="43" applyFont="1" applyFill="1" applyBorder="1" applyAlignment="1"/>
    <xf numFmtId="0" fontId="65" fillId="0" borderId="0" xfId="39" applyFont="1" applyBorder="1"/>
    <xf numFmtId="0" fontId="65" fillId="0" borderId="0" xfId="39" applyFont="1" applyBorder="1" applyAlignment="1">
      <alignment horizontal="center"/>
    </xf>
    <xf numFmtId="0" fontId="68" fillId="0" borderId="0" xfId="43" applyFont="1" applyFill="1" applyBorder="1" applyAlignment="1">
      <alignment horizontal="center"/>
    </xf>
    <xf numFmtId="171" fontId="68" fillId="0" borderId="0" xfId="40" applyNumberFormat="1" applyFont="1" applyFill="1" applyBorder="1" applyAlignment="1">
      <alignment horizontal="center"/>
    </xf>
    <xf numFmtId="171" fontId="66" fillId="0" borderId="0" xfId="40" applyNumberFormat="1" applyFont="1" applyBorder="1"/>
    <xf numFmtId="171" fontId="68" fillId="0" borderId="0" xfId="40" applyNumberFormat="1" applyFont="1" applyFill="1" applyBorder="1" applyAlignment="1">
      <alignment horizontal="right"/>
    </xf>
    <xf numFmtId="179" fontId="68" fillId="0" borderId="0" xfId="41" applyNumberFormat="1" applyFont="1" applyFill="1" applyBorder="1" applyAlignment="1">
      <alignment horizontal="right"/>
    </xf>
    <xf numFmtId="178" fontId="65" fillId="0" borderId="0" xfId="39" applyNumberFormat="1" applyFont="1" applyBorder="1"/>
    <xf numFmtId="179" fontId="66" fillId="0" borderId="0" xfId="41" applyNumberFormat="1" applyFont="1" applyBorder="1"/>
    <xf numFmtId="44" fontId="65" fillId="0" borderId="0" xfId="39" applyNumberFormat="1" applyFont="1" applyBorder="1"/>
    <xf numFmtId="179" fontId="65" fillId="0" borderId="0" xfId="37" applyNumberFormat="1" applyFont="1" applyAlignment="1">
      <alignment horizontal="center"/>
    </xf>
    <xf numFmtId="178" fontId="65" fillId="0" borderId="0" xfId="37" applyNumberFormat="1" applyFont="1"/>
    <xf numFmtId="179" fontId="65" fillId="0" borderId="0" xfId="39" applyNumberFormat="1" applyFont="1"/>
    <xf numFmtId="43" fontId="68" fillId="0" borderId="0" xfId="40" applyNumberFormat="1" applyFont="1" applyFill="1" applyBorder="1" applyAlignment="1">
      <alignment horizontal="right"/>
    </xf>
    <xf numFmtId="0" fontId="67" fillId="0" borderId="0" xfId="42" applyFont="1" applyBorder="1" applyAlignment="1"/>
    <xf numFmtId="171" fontId="69" fillId="0" borderId="7" xfId="40" applyNumberFormat="1" applyFont="1" applyBorder="1" applyAlignment="1">
      <alignment horizontal="center"/>
    </xf>
    <xf numFmtId="171" fontId="69" fillId="0" borderId="7" xfId="40" applyNumberFormat="1" applyFont="1" applyBorder="1"/>
    <xf numFmtId="178" fontId="69" fillId="0" borderId="7" xfId="39" applyNumberFormat="1" applyFont="1" applyBorder="1"/>
    <xf numFmtId="171" fontId="66" fillId="0" borderId="0" xfId="40" applyNumberFormat="1" applyFont="1" applyBorder="1" applyAlignment="1">
      <alignment horizontal="center"/>
    </xf>
    <xf numFmtId="171" fontId="65" fillId="0" borderId="0" xfId="39" applyNumberFormat="1" applyFont="1"/>
    <xf numFmtId="44" fontId="65" fillId="0" borderId="7" xfId="39" applyNumberFormat="1" applyFont="1" applyBorder="1"/>
    <xf numFmtId="178" fontId="65" fillId="0" borderId="0" xfId="39" applyNumberFormat="1" applyFont="1"/>
    <xf numFmtId="171" fontId="66" fillId="0" borderId="0" xfId="40" applyNumberFormat="1" applyFont="1"/>
    <xf numFmtId="178" fontId="69" fillId="0" borderId="7" xfId="39" applyNumberFormat="1" applyFont="1" applyFill="1" applyBorder="1"/>
    <xf numFmtId="179" fontId="65" fillId="0" borderId="0" xfId="39" applyNumberFormat="1" applyFont="1" applyBorder="1"/>
    <xf numFmtId="171" fontId="70" fillId="0" borderId="7" xfId="40" applyNumberFormat="1" applyFont="1" applyFill="1" applyBorder="1" applyAlignment="1">
      <alignment horizontal="right"/>
    </xf>
    <xf numFmtId="0" fontId="65" fillId="8" borderId="6" xfId="39" quotePrefix="1" applyFont="1" applyFill="1" applyBorder="1" applyAlignment="1">
      <alignment horizontal="center"/>
    </xf>
    <xf numFmtId="171" fontId="66" fillId="8" borderId="6" xfId="40" quotePrefix="1" applyNumberFormat="1" applyFont="1" applyFill="1" applyBorder="1" applyAlignment="1">
      <alignment horizontal="center"/>
    </xf>
    <xf numFmtId="171" fontId="66" fillId="8" borderId="6" xfId="40" quotePrefix="1" applyNumberFormat="1" applyFont="1" applyFill="1" applyBorder="1"/>
    <xf numFmtId="0" fontId="66" fillId="0" borderId="0" xfId="42" applyFont="1" applyBorder="1" applyAlignment="1"/>
    <xf numFmtId="0" fontId="66" fillId="0" borderId="0" xfId="42" applyFont="1" applyBorder="1" applyAlignment="1">
      <alignment horizontal="center"/>
    </xf>
    <xf numFmtId="178" fontId="66" fillId="0" borderId="0" xfId="41" applyNumberFormat="1" applyFont="1"/>
    <xf numFmtId="44" fontId="65" fillId="0" borderId="0" xfId="39" applyNumberFormat="1" applyFont="1"/>
    <xf numFmtId="171" fontId="66" fillId="0" borderId="0" xfId="40" applyNumberFormat="1" applyFont="1" applyBorder="1" applyAlignment="1">
      <alignment horizontal="right"/>
    </xf>
    <xf numFmtId="171" fontId="66" fillId="0" borderId="3" xfId="40" applyNumberFormat="1" applyFont="1" applyBorder="1" applyAlignment="1">
      <alignment horizontal="center"/>
    </xf>
    <xf numFmtId="171" fontId="66" fillId="0" borderId="3" xfId="40" applyNumberFormat="1" applyFont="1" applyBorder="1"/>
    <xf numFmtId="178" fontId="66" fillId="0" borderId="3" xfId="41" applyNumberFormat="1" applyFont="1" applyBorder="1"/>
    <xf numFmtId="44" fontId="65" fillId="0" borderId="3" xfId="39" applyNumberFormat="1" applyFont="1" applyBorder="1"/>
    <xf numFmtId="178" fontId="65" fillId="0" borderId="3" xfId="39" applyNumberFormat="1" applyFont="1" applyBorder="1"/>
    <xf numFmtId="171" fontId="71" fillId="0" borderId="0" xfId="40" applyNumberFormat="1" applyFont="1" applyBorder="1" applyAlignment="1">
      <alignment horizontal="center"/>
    </xf>
    <xf numFmtId="171" fontId="69" fillId="0" borderId="0" xfId="40" applyNumberFormat="1" applyFont="1"/>
    <xf numFmtId="179" fontId="66" fillId="0" borderId="0" xfId="41" applyNumberFormat="1" applyFont="1" applyBorder="1" applyAlignment="1">
      <alignment horizontal="right"/>
    </xf>
    <xf numFmtId="178" fontId="69" fillId="0" borderId="0" xfId="41" applyNumberFormat="1" applyFont="1"/>
    <xf numFmtId="44" fontId="66" fillId="0" borderId="0" xfId="41" applyFont="1"/>
    <xf numFmtId="0" fontId="69" fillId="0" borderId="0" xfId="39" applyFont="1"/>
    <xf numFmtId="178" fontId="69" fillId="0" borderId="0" xfId="39" applyNumberFormat="1" applyFont="1"/>
    <xf numFmtId="0" fontId="66" fillId="0" borderId="0" xfId="42" applyFont="1" applyFill="1" applyBorder="1" applyAlignment="1"/>
    <xf numFmtId="0" fontId="65" fillId="0" borderId="0" xfId="39" applyFont="1" applyFill="1" applyAlignment="1">
      <alignment horizontal="center"/>
    </xf>
    <xf numFmtId="0" fontId="66" fillId="0" borderId="0" xfId="42" applyFont="1" applyFill="1" applyBorder="1" applyAlignment="1">
      <alignment horizontal="center"/>
    </xf>
    <xf numFmtId="171" fontId="66" fillId="0" borderId="0" xfId="40" applyNumberFormat="1" applyFont="1" applyFill="1" applyBorder="1" applyAlignment="1">
      <alignment horizontal="center"/>
    </xf>
    <xf numFmtId="171" fontId="66" fillId="0" borderId="3" xfId="40" applyNumberFormat="1" applyFont="1" applyFill="1" applyBorder="1" applyAlignment="1">
      <alignment horizontal="center"/>
    </xf>
    <xf numFmtId="44" fontId="69" fillId="0" borderId="0" xfId="39" applyNumberFormat="1" applyFont="1"/>
    <xf numFmtId="171" fontId="66" fillId="0" borderId="3" xfId="40" applyNumberFormat="1" applyFont="1" applyBorder="1" applyAlignment="1">
      <alignment horizontal="right"/>
    </xf>
    <xf numFmtId="179" fontId="66" fillId="0" borderId="0" xfId="41" applyNumberFormat="1" applyFont="1"/>
    <xf numFmtId="44" fontId="66" fillId="0" borderId="3" xfId="41" applyFont="1" applyBorder="1"/>
    <xf numFmtId="171" fontId="71" fillId="0" borderId="0" xfId="40" applyNumberFormat="1" applyFont="1" applyFill="1" applyBorder="1" applyAlignment="1">
      <alignment horizontal="center"/>
    </xf>
    <xf numFmtId="171" fontId="71" fillId="0" borderId="0" xfId="40" applyNumberFormat="1" applyFont="1" applyBorder="1" applyAlignment="1">
      <alignment horizontal="right"/>
    </xf>
    <xf numFmtId="44" fontId="69" fillId="0" borderId="0" xfId="41" applyFont="1"/>
    <xf numFmtId="178" fontId="69" fillId="0" borderId="7" xfId="41" applyNumberFormat="1" applyFont="1" applyBorder="1"/>
    <xf numFmtId="171" fontId="69" fillId="0" borderId="7" xfId="40" applyNumberFormat="1" applyFont="1" applyFill="1" applyBorder="1" applyAlignment="1">
      <alignment horizontal="center"/>
    </xf>
    <xf numFmtId="171" fontId="66" fillId="0" borderId="0" xfId="40" applyNumberFormat="1" applyFont="1" applyFill="1" applyAlignment="1">
      <alignment horizontal="center"/>
    </xf>
    <xf numFmtId="179" fontId="66" fillId="0" borderId="0" xfId="41" applyNumberFormat="1" applyFont="1" applyFill="1" applyBorder="1" applyAlignment="1">
      <alignment horizontal="right"/>
    </xf>
    <xf numFmtId="171" fontId="66" fillId="0" borderId="0" xfId="40" applyNumberFormat="1" applyFont="1" applyFill="1"/>
    <xf numFmtId="171" fontId="66" fillId="0" borderId="0" xfId="40" applyNumberFormat="1" applyFont="1" applyFill="1" applyBorder="1" applyAlignment="1">
      <alignment horizontal="right"/>
    </xf>
    <xf numFmtId="178" fontId="66" fillId="0" borderId="0" xfId="41" applyNumberFormat="1" applyFont="1" applyFill="1"/>
    <xf numFmtId="44" fontId="66" fillId="0" borderId="0" xfId="41" applyFont="1" applyFill="1"/>
    <xf numFmtId="178" fontId="65" fillId="0" borderId="0" xfId="39" applyNumberFormat="1" applyFont="1" applyFill="1"/>
    <xf numFmtId="44" fontId="69" fillId="0" borderId="7" xfId="39" applyNumberFormat="1" applyFont="1" applyBorder="1"/>
    <xf numFmtId="178" fontId="66" fillId="0" borderId="0" xfId="41" applyNumberFormat="1" applyFont="1" applyAlignment="1">
      <alignment horizontal="center"/>
    </xf>
    <xf numFmtId="44" fontId="66" fillId="0" borderId="0" xfId="41" applyFont="1" applyAlignment="1">
      <alignment horizontal="center"/>
    </xf>
    <xf numFmtId="0" fontId="71" fillId="0" borderId="2" xfId="42" applyFont="1" applyFill="1" applyBorder="1" applyAlignment="1"/>
    <xf numFmtId="171" fontId="71" fillId="0" borderId="2" xfId="42" applyNumberFormat="1" applyFont="1" applyFill="1" applyBorder="1" applyAlignment="1"/>
    <xf numFmtId="178" fontId="71" fillId="0" borderId="2" xfId="42" applyNumberFormat="1" applyFont="1" applyFill="1" applyBorder="1" applyAlignment="1"/>
    <xf numFmtId="43" fontId="66" fillId="0" borderId="0" xfId="40" applyNumberFormat="1" applyFont="1"/>
    <xf numFmtId="9" fontId="66" fillId="0" borderId="0" xfId="44" applyFont="1"/>
    <xf numFmtId="43" fontId="66" fillId="0" borderId="0" xfId="40" applyNumberFormat="1" applyFont="1" applyAlignment="1">
      <alignment horizontal="center"/>
    </xf>
    <xf numFmtId="178" fontId="0" fillId="0" borderId="0" xfId="45" applyNumberFormat="1" applyFont="1"/>
    <xf numFmtId="171" fontId="0" fillId="0" borderId="0" xfId="45" applyNumberFormat="1" applyFont="1"/>
    <xf numFmtId="44" fontId="0" fillId="0" borderId="0" xfId="45" applyFont="1"/>
    <xf numFmtId="178" fontId="0" fillId="0" borderId="0" xfId="45" applyNumberFormat="1" applyFont="1" applyAlignment="1"/>
    <xf numFmtId="44" fontId="0" fillId="0" borderId="0" xfId="0" applyNumberFormat="1" applyAlignment="1"/>
    <xf numFmtId="44" fontId="0" fillId="0" borderId="0" xfId="45" applyNumberFormat="1" applyFont="1" applyAlignment="1"/>
    <xf numFmtId="41" fontId="0" fillId="0" borderId="0" xfId="45" applyNumberFormat="1" applyFont="1" applyAlignment="1"/>
    <xf numFmtId="41" fontId="0" fillId="0" borderId="7" xfId="0" applyNumberFormat="1" applyBorder="1" applyAlignment="1"/>
    <xf numFmtId="41" fontId="0" fillId="0" borderId="7" xfId="45" applyNumberFormat="1" applyFont="1" applyBorder="1" applyAlignment="1"/>
    <xf numFmtId="44" fontId="0" fillId="0" borderId="0" xfId="45" applyFont="1" applyFill="1" applyBorder="1"/>
    <xf numFmtId="44" fontId="0" fillId="0" borderId="0" xfId="0" applyNumberFormat="1"/>
    <xf numFmtId="178" fontId="0" fillId="0" borderId="3" xfId="45" applyNumberFormat="1" applyFont="1" applyBorder="1"/>
    <xf numFmtId="178" fontId="0" fillId="0" borderId="3" xfId="0" applyNumberFormat="1" applyBorder="1"/>
    <xf numFmtId="44" fontId="0" fillId="0" borderId="3" xfId="45" applyFont="1" applyBorder="1"/>
    <xf numFmtId="44" fontId="0" fillId="0" borderId="3" xfId="0" applyNumberFormat="1" applyBorder="1"/>
    <xf numFmtId="178" fontId="3" fillId="0" borderId="8" xfId="45" applyNumberFormat="1" applyFont="1" applyBorder="1"/>
    <xf numFmtId="178" fontId="3" fillId="0" borderId="0" xfId="45" applyNumberFormat="1" applyFont="1"/>
    <xf numFmtId="178" fontId="3" fillId="0" borderId="0" xfId="45" applyNumberFormat="1" applyFont="1" applyBorder="1"/>
    <xf numFmtId="179" fontId="0" fillId="0" borderId="0" xfId="0" applyNumberFormat="1"/>
    <xf numFmtId="0" fontId="0" fillId="0" borderId="0" xfId="0" applyAlignment="1">
      <alignment horizontal="center"/>
    </xf>
    <xf numFmtId="0" fontId="1" fillId="0" borderId="0" xfId="39" applyAlignment="1">
      <alignment horizontal="center"/>
    </xf>
    <xf numFmtId="15" fontId="3" fillId="0" borderId="0" xfId="32" applyNumberFormat="1" applyFill="1" applyAlignment="1">
      <alignment horizontal="center"/>
    </xf>
    <xf numFmtId="0" fontId="0" fillId="0" borderId="0" xfId="0" applyFill="1" applyAlignment="1">
      <alignment horizontal="center"/>
    </xf>
    <xf numFmtId="10" fontId="0" fillId="0" borderId="3" xfId="36" applyNumberFormat="1" applyFont="1" applyBorder="1" applyAlignment="1">
      <alignment horizontal="center"/>
    </xf>
    <xf numFmtId="171" fontId="0" fillId="0" borderId="3" xfId="4" applyNumberFormat="1" applyFont="1" applyBorder="1" applyAlignment="1">
      <alignment horizontal="center" wrapText="1"/>
    </xf>
    <xf numFmtId="10" fontId="0" fillId="0" borderId="3" xfId="17" applyNumberFormat="1" applyFont="1" applyBorder="1" applyAlignment="1">
      <alignment horizontal="center"/>
    </xf>
    <xf numFmtId="0" fontId="3" fillId="0" borderId="0" xfId="0" applyFont="1" applyAlignment="1">
      <alignment horizontal="left"/>
    </xf>
    <xf numFmtId="178" fontId="0" fillId="0" borderId="0" xfId="45" applyNumberFormat="1" applyFont="1" applyFill="1"/>
    <xf numFmtId="44" fontId="0" fillId="0" borderId="0" xfId="45" applyFont="1" applyFill="1"/>
    <xf numFmtId="178" fontId="0" fillId="0" borderId="0" xfId="0" applyNumberFormat="1" applyFill="1"/>
    <xf numFmtId="44" fontId="0" fillId="0" borderId="0" xfId="0" applyNumberFormat="1" applyFill="1"/>
    <xf numFmtId="178" fontId="0" fillId="0" borderId="0" xfId="38" applyNumberFormat="1" applyFont="1" applyFill="1"/>
    <xf numFmtId="41" fontId="3" fillId="0" borderId="6" xfId="14" applyNumberFormat="1" applyBorder="1" applyAlignment="1">
      <alignment horizontal="right"/>
    </xf>
    <xf numFmtId="41" fontId="3" fillId="0" borderId="0" xfId="14" applyNumberFormat="1" applyAlignment="1">
      <alignment horizontal="center"/>
    </xf>
    <xf numFmtId="10" fontId="31" fillId="0" borderId="0" xfId="0" applyNumberFormat="1" applyFont="1" applyFill="1" applyAlignment="1">
      <alignment horizontal="center"/>
    </xf>
    <xf numFmtId="0" fontId="0" fillId="0" borderId="0" xfId="0" applyAlignment="1">
      <alignment horizontal="center"/>
    </xf>
    <xf numFmtId="0" fontId="6" fillId="0" borderId="11" xfId="14" applyFont="1" applyBorder="1" applyAlignment="1">
      <alignment horizontal="left" vertical="center"/>
    </xf>
    <xf numFmtId="0" fontId="6" fillId="0" borderId="12" xfId="14" applyFont="1" applyBorder="1"/>
    <xf numFmtId="0" fontId="6" fillId="0" borderId="12" xfId="0" applyFont="1" applyBorder="1"/>
    <xf numFmtId="0" fontId="6" fillId="0" borderId="13" xfId="14" applyFont="1" applyBorder="1" applyAlignment="1">
      <alignment horizontal="center"/>
    </xf>
    <xf numFmtId="0" fontId="6" fillId="0" borderId="13" xfId="14" quotePrefix="1" applyFont="1" applyBorder="1" applyAlignment="1">
      <alignment horizontal="center"/>
    </xf>
    <xf numFmtId="10" fontId="0" fillId="0" borderId="0" xfId="36" applyNumberFormat="1" applyFont="1" applyBorder="1" applyAlignment="1">
      <alignment horizontal="center"/>
    </xf>
    <xf numFmtId="10" fontId="0" fillId="0" borderId="2" xfId="36" applyNumberFormat="1" applyFont="1" applyBorder="1" applyAlignment="1">
      <alignment horizontal="center"/>
    </xf>
    <xf numFmtId="0" fontId="0" fillId="0" borderId="0" xfId="0" applyAlignment="1">
      <alignment horizontal="center"/>
    </xf>
    <xf numFmtId="0" fontId="3" fillId="0" borderId="0" xfId="0" applyFont="1" applyAlignment="1">
      <alignment horizontal="center"/>
    </xf>
    <xf numFmtId="164" fontId="3" fillId="0" borderId="0" xfId="0" applyNumberFormat="1" applyFont="1"/>
    <xf numFmtId="43" fontId="3" fillId="0" borderId="0" xfId="14" applyNumberFormat="1" applyFont="1"/>
    <xf numFmtId="37" fontId="3" fillId="0" borderId="0" xfId="14" applyNumberFormat="1" applyFont="1" applyBorder="1"/>
    <xf numFmtId="171" fontId="3" fillId="0" borderId="2" xfId="14" applyNumberFormat="1" applyFont="1" applyFill="1" applyBorder="1"/>
    <xf numFmtId="37" fontId="3" fillId="0" borderId="2" xfId="14" applyNumberFormat="1" applyFont="1" applyFill="1" applyBorder="1"/>
    <xf numFmtId="171" fontId="3" fillId="0" borderId="6" xfId="14" applyNumberFormat="1" applyFont="1" applyFill="1" applyBorder="1"/>
    <xf numFmtId="171" fontId="3" fillId="0" borderId="6" xfId="14" applyNumberFormat="1" applyFont="1" applyBorder="1"/>
    <xf numFmtId="37" fontId="3" fillId="0" borderId="6" xfId="14" applyNumberFormat="1" applyFont="1" applyFill="1" applyBorder="1"/>
    <xf numFmtId="37" fontId="3" fillId="0" borderId="6" xfId="14" applyNumberFormat="1" applyFont="1" applyBorder="1"/>
    <xf numFmtId="171" fontId="3" fillId="0" borderId="2" xfId="14" applyNumberFormat="1" applyFont="1" applyBorder="1"/>
    <xf numFmtId="37" fontId="3" fillId="0" borderId="2" xfId="14" applyNumberFormat="1" applyFont="1" applyBorder="1"/>
    <xf numFmtId="41" fontId="3" fillId="0" borderId="0" xfId="0" applyNumberFormat="1" applyFont="1" applyBorder="1"/>
    <xf numFmtId="0" fontId="3" fillId="0" borderId="0" xfId="0" applyFont="1" applyBorder="1" applyAlignment="1">
      <alignment horizontal="center"/>
    </xf>
    <xf numFmtId="167" fontId="3" fillId="0" borderId="0" xfId="17" applyNumberFormat="1" applyFont="1" applyBorder="1"/>
    <xf numFmtId="164" fontId="3" fillId="0" borderId="0" xfId="14" applyNumberFormat="1" applyFont="1" applyBorder="1" applyAlignment="1">
      <alignment horizontal="center"/>
    </xf>
    <xf numFmtId="41" fontId="35" fillId="0" borderId="3" xfId="0" applyNumberFormat="1" applyFont="1" applyFill="1" applyBorder="1" applyAlignment="1" applyProtection="1">
      <alignment horizontal="right" vertical="top"/>
      <protection locked="0"/>
    </xf>
    <xf numFmtId="41" fontId="35" fillId="0" borderId="0" xfId="0" applyNumberFormat="1" applyFont="1" applyFill="1" applyAlignment="1" applyProtection="1">
      <alignment horizontal="left" vertical="top"/>
      <protection locked="0"/>
    </xf>
    <xf numFmtId="41" fontId="35" fillId="0" borderId="0" xfId="0" applyNumberFormat="1" applyFont="1" applyFill="1" applyAlignment="1" applyProtection="1">
      <alignment horizontal="right" vertical="top"/>
      <protection locked="0"/>
    </xf>
    <xf numFmtId="41" fontId="53" fillId="0" borderId="6" xfId="0" applyNumberFormat="1" applyFont="1" applyFill="1" applyBorder="1" applyAlignment="1" applyProtection="1">
      <alignment horizontal="right" vertical="top"/>
      <protection locked="0"/>
    </xf>
    <xf numFmtId="41" fontId="53" fillId="0" borderId="3" xfId="0" applyNumberFormat="1" applyFont="1" applyFill="1" applyBorder="1" applyAlignment="1" applyProtection="1">
      <alignment horizontal="right" vertical="top"/>
      <protection locked="0"/>
    </xf>
    <xf numFmtId="41" fontId="15" fillId="0" borderId="0" xfId="0" applyNumberFormat="1" applyFont="1" applyFill="1" applyAlignment="1" applyProtection="1">
      <alignment horizontal="left" vertical="top"/>
      <protection locked="0"/>
    </xf>
    <xf numFmtId="41" fontId="16" fillId="0" borderId="0" xfId="0" applyNumberFormat="1" applyFont="1" applyFill="1" applyAlignment="1" applyProtection="1">
      <alignment horizontal="left" vertical="top"/>
      <protection locked="0"/>
    </xf>
    <xf numFmtId="41" fontId="35" fillId="0" borderId="0" xfId="0" applyNumberFormat="1" applyFont="1" applyFill="1" applyBorder="1" applyAlignment="1" applyProtection="1">
      <alignment horizontal="right" vertical="top"/>
      <protection locked="0"/>
    </xf>
    <xf numFmtId="41" fontId="53" fillId="0" borderId="2" xfId="0" applyNumberFormat="1" applyFont="1" applyFill="1" applyBorder="1" applyAlignment="1" applyProtection="1">
      <alignment horizontal="right" vertical="top"/>
      <protection locked="0"/>
    </xf>
    <xf numFmtId="41" fontId="16" fillId="0" borderId="0" xfId="0" applyNumberFormat="1" applyFont="1" applyFill="1" applyAlignment="1" applyProtection="1">
      <alignment horizontal="right" vertical="top"/>
      <protection locked="0"/>
    </xf>
    <xf numFmtId="41" fontId="16" fillId="0" borderId="3" xfId="0" applyNumberFormat="1" applyFont="1" applyFill="1" applyBorder="1" applyAlignment="1" applyProtection="1">
      <alignment horizontal="right" vertical="top"/>
      <protection locked="0"/>
    </xf>
    <xf numFmtId="41" fontId="16" fillId="0" borderId="6" xfId="0" applyNumberFormat="1" applyFont="1" applyFill="1" applyBorder="1" applyAlignment="1" applyProtection="1">
      <alignment horizontal="right" vertical="top"/>
      <protection locked="0"/>
    </xf>
    <xf numFmtId="41" fontId="16" fillId="0" borderId="2" xfId="0" applyNumberFormat="1" applyFont="1" applyFill="1" applyBorder="1" applyAlignment="1" applyProtection="1">
      <alignment horizontal="right" vertical="top"/>
      <protection locked="0"/>
    </xf>
    <xf numFmtId="41" fontId="0" fillId="0" borderId="0" xfId="0" quotePrefix="1" applyNumberFormat="1" applyAlignment="1"/>
    <xf numFmtId="41" fontId="31" fillId="0" borderId="0" xfId="0" quotePrefix="1" applyNumberFormat="1" applyFont="1" applyFill="1" applyAlignment="1"/>
    <xf numFmtId="0" fontId="0" fillId="0" borderId="0" xfId="0" applyAlignment="1">
      <alignment horizontal="center"/>
    </xf>
    <xf numFmtId="166" fontId="0" fillId="0" borderId="0" xfId="0" applyNumberFormat="1" applyAlignment="1">
      <alignment horizontal="center"/>
    </xf>
    <xf numFmtId="15" fontId="0" fillId="0" borderId="0" xfId="0" applyNumberFormat="1" applyAlignment="1">
      <alignment horizontal="center"/>
    </xf>
    <xf numFmtId="0" fontId="3" fillId="0" borderId="0" xfId="14" applyAlignment="1">
      <alignment horizontal="center"/>
    </xf>
    <xf numFmtId="15" fontId="3" fillId="0" borderId="0" xfId="14" applyNumberFormat="1" applyAlignment="1">
      <alignment horizontal="center"/>
    </xf>
    <xf numFmtId="0" fontId="3" fillId="0" borderId="0" xfId="0" applyFont="1" applyAlignment="1">
      <alignment horizontal="center"/>
    </xf>
    <xf numFmtId="15" fontId="3" fillId="0" borderId="0" xfId="0" applyNumberFormat="1" applyFont="1" applyAlignment="1">
      <alignment horizontal="center"/>
    </xf>
    <xf numFmtId="0" fontId="11" fillId="0" borderId="5" xfId="14" applyFont="1" applyBorder="1" applyAlignment="1">
      <alignment horizontal="center" wrapText="1"/>
    </xf>
    <xf numFmtId="0" fontId="0" fillId="0" borderId="5" xfId="0" applyBorder="1" applyAlignment="1">
      <alignment wrapText="1"/>
    </xf>
    <xf numFmtId="0" fontId="0" fillId="0" borderId="5" xfId="0" applyBorder="1" applyAlignment="1">
      <alignment horizontal="center" wrapText="1"/>
    </xf>
    <xf numFmtId="167" fontId="11" fillId="0" borderId="5" xfId="17" applyNumberFormat="1" applyFont="1" applyBorder="1" applyAlignment="1">
      <alignment horizontal="center" wrapText="1"/>
    </xf>
    <xf numFmtId="0" fontId="11" fillId="0" borderId="5" xfId="14" applyFont="1" applyFill="1" applyBorder="1" applyAlignment="1">
      <alignment horizontal="center" wrapText="1"/>
    </xf>
    <xf numFmtId="0" fontId="0" fillId="0" borderId="5" xfId="0" applyFill="1" applyBorder="1" applyAlignment="1">
      <alignment wrapText="1"/>
    </xf>
    <xf numFmtId="10" fontId="6" fillId="0" borderId="0" xfId="0" applyNumberFormat="1" applyFont="1" applyFill="1" applyAlignment="1">
      <alignment wrapText="1"/>
    </xf>
    <xf numFmtId="0" fontId="6" fillId="0" borderId="0" xfId="0" applyFont="1" applyFill="1" applyAlignment="1">
      <alignment wrapText="1"/>
    </xf>
    <xf numFmtId="0" fontId="1" fillId="0" borderId="0" xfId="39" applyAlignment="1">
      <alignment horizontal="center"/>
    </xf>
    <xf numFmtId="0" fontId="1" fillId="0" borderId="0" xfId="39" applyFont="1" applyAlignment="1">
      <alignment horizontal="center"/>
    </xf>
    <xf numFmtId="0" fontId="65" fillId="0" borderId="0" xfId="39" applyFont="1" applyAlignment="1">
      <alignment horizontal="center"/>
    </xf>
    <xf numFmtId="15" fontId="0" fillId="0" borderId="0" xfId="0" applyNumberFormat="1" applyFill="1" applyAlignment="1">
      <alignment horizontal="center"/>
    </xf>
    <xf numFmtId="0" fontId="0" fillId="0" borderId="0" xfId="0" applyFill="1" applyAlignment="1">
      <alignment horizontal="center"/>
    </xf>
    <xf numFmtId="1" fontId="3" fillId="0" borderId="0" xfId="30" applyNumberFormat="1" applyFill="1" applyAlignment="1">
      <alignment horizontal="left" wrapText="1"/>
    </xf>
    <xf numFmtId="0" fontId="3" fillId="0" borderId="0" xfId="32" applyFill="1" applyAlignment="1">
      <alignment horizontal="center"/>
    </xf>
    <xf numFmtId="15" fontId="3" fillId="0" borderId="0" xfId="32" applyNumberFormat="1" applyFill="1" applyAlignment="1">
      <alignment horizontal="center"/>
    </xf>
    <xf numFmtId="166" fontId="0" fillId="0" borderId="0" xfId="0" applyNumberFormat="1" applyFill="1" applyAlignment="1">
      <alignment horizontal="center"/>
    </xf>
    <xf numFmtId="0" fontId="3" fillId="0" borderId="0" xfId="0" applyFont="1" applyFill="1" applyAlignment="1">
      <alignment horizontal="left" vertical="top" wrapText="1"/>
    </xf>
    <xf numFmtId="0" fontId="0" fillId="0" borderId="0" xfId="0" applyAlignment="1">
      <alignment horizontal="left" vertical="top" wrapText="1"/>
    </xf>
    <xf numFmtId="0" fontId="0" fillId="0" borderId="1" xfId="0" applyBorder="1" applyAlignment="1">
      <alignment horizontal="center"/>
    </xf>
    <xf numFmtId="0" fontId="0" fillId="0" borderId="3" xfId="0" applyBorder="1" applyAlignment="1">
      <alignment horizontal="center"/>
    </xf>
  </cellXfs>
  <cellStyles count="415">
    <cellStyle name="AMN" xfId="1"/>
    <cellStyle name="Bridget" xfId="2"/>
    <cellStyle name="COLUMN A" xfId="3"/>
    <cellStyle name="Comma" xfId="4" builtinId="3"/>
    <cellStyle name="Comma [0] 2" xfId="46"/>
    <cellStyle name="Comma 10" xfId="47"/>
    <cellStyle name="Comma 100" xfId="48"/>
    <cellStyle name="Comma 101" xfId="49"/>
    <cellStyle name="Comma 102" xfId="50"/>
    <cellStyle name="Comma 103" xfId="51"/>
    <cellStyle name="Comma 104" xfId="52"/>
    <cellStyle name="Comma 105" xfId="53"/>
    <cellStyle name="Comma 106" xfId="54"/>
    <cellStyle name="Comma 107" xfId="55"/>
    <cellStyle name="Comma 108" xfId="56"/>
    <cellStyle name="Comma 109" xfId="57"/>
    <cellStyle name="Comma 11" xfId="58"/>
    <cellStyle name="Comma 110" xfId="59"/>
    <cellStyle name="Comma 111" xfId="60"/>
    <cellStyle name="Comma 112" xfId="61"/>
    <cellStyle name="Comma 113" xfId="62"/>
    <cellStyle name="Comma 114" xfId="63"/>
    <cellStyle name="Comma 115" xfId="64"/>
    <cellStyle name="Comma 116" xfId="65"/>
    <cellStyle name="Comma 117" xfId="66"/>
    <cellStyle name="Comma 118" xfId="67"/>
    <cellStyle name="Comma 119" xfId="68"/>
    <cellStyle name="Comma 12" xfId="69"/>
    <cellStyle name="Comma 120" xfId="70"/>
    <cellStyle name="Comma 121" xfId="71"/>
    <cellStyle name="Comma 122" xfId="72"/>
    <cellStyle name="Comma 123" xfId="73"/>
    <cellStyle name="Comma 124" xfId="74"/>
    <cellStyle name="Comma 125" xfId="75"/>
    <cellStyle name="Comma 126" xfId="76"/>
    <cellStyle name="Comma 127" xfId="77"/>
    <cellStyle name="Comma 128" xfId="78"/>
    <cellStyle name="Comma 129" xfId="79"/>
    <cellStyle name="Comma 13" xfId="80"/>
    <cellStyle name="Comma 130" xfId="81"/>
    <cellStyle name="Comma 131" xfId="82"/>
    <cellStyle name="Comma 132" xfId="83"/>
    <cellStyle name="Comma 133" xfId="84"/>
    <cellStyle name="Comma 134" xfId="85"/>
    <cellStyle name="Comma 135" xfId="86"/>
    <cellStyle name="Comma 136" xfId="87"/>
    <cellStyle name="Comma 137" xfId="88"/>
    <cellStyle name="Comma 138" xfId="89"/>
    <cellStyle name="Comma 139" xfId="90"/>
    <cellStyle name="Comma 14" xfId="91"/>
    <cellStyle name="Comma 140" xfId="92"/>
    <cellStyle name="Comma 141" xfId="93"/>
    <cellStyle name="Comma 142" xfId="94"/>
    <cellStyle name="Comma 143" xfId="95"/>
    <cellStyle name="Comma 144" xfId="96"/>
    <cellStyle name="Comma 145" xfId="97"/>
    <cellStyle name="Comma 146" xfId="98"/>
    <cellStyle name="Comma 147" xfId="99"/>
    <cellStyle name="Comma 148" xfId="100"/>
    <cellStyle name="Comma 149" xfId="101"/>
    <cellStyle name="Comma 15" xfId="102"/>
    <cellStyle name="Comma 150" xfId="103"/>
    <cellStyle name="Comma 151" xfId="104"/>
    <cellStyle name="Comma 152" xfId="105"/>
    <cellStyle name="Comma 153" xfId="106"/>
    <cellStyle name="Comma 154" xfId="107"/>
    <cellStyle name="Comma 155" xfId="108"/>
    <cellStyle name="Comma 156" xfId="109"/>
    <cellStyle name="Comma 157" xfId="110"/>
    <cellStyle name="Comma 158" xfId="111"/>
    <cellStyle name="Comma 159" xfId="112"/>
    <cellStyle name="Comma 16" xfId="113"/>
    <cellStyle name="Comma 160" xfId="114"/>
    <cellStyle name="Comma 161" xfId="115"/>
    <cellStyle name="Comma 162" xfId="116"/>
    <cellStyle name="Comma 163" xfId="117"/>
    <cellStyle name="Comma 164" xfId="118"/>
    <cellStyle name="Comma 165" xfId="119"/>
    <cellStyle name="Comma 166" xfId="120"/>
    <cellStyle name="Comma 167" xfId="121"/>
    <cellStyle name="Comma 168" xfId="122"/>
    <cellStyle name="Comma 169" xfId="123"/>
    <cellStyle name="Comma 17" xfId="124"/>
    <cellStyle name="Comma 170" xfId="125"/>
    <cellStyle name="Comma 171" xfId="126"/>
    <cellStyle name="Comma 172" xfId="127"/>
    <cellStyle name="Comma 173" xfId="128"/>
    <cellStyle name="Comma 174" xfId="129"/>
    <cellStyle name="Comma 175" xfId="130"/>
    <cellStyle name="Comma 176" xfId="131"/>
    <cellStyle name="Comma 177" xfId="132"/>
    <cellStyle name="Comma 178" xfId="133"/>
    <cellStyle name="Comma 179" xfId="134"/>
    <cellStyle name="Comma 18" xfId="135"/>
    <cellStyle name="Comma 180" xfId="136"/>
    <cellStyle name="Comma 181" xfId="137"/>
    <cellStyle name="Comma 182" xfId="138"/>
    <cellStyle name="Comma 183" xfId="139"/>
    <cellStyle name="Comma 184" xfId="140"/>
    <cellStyle name="Comma 185" xfId="141"/>
    <cellStyle name="Comma 186" xfId="142"/>
    <cellStyle name="Comma 187" xfId="143"/>
    <cellStyle name="Comma 19" xfId="144"/>
    <cellStyle name="Comma 2" xfId="31"/>
    <cellStyle name="Comma 2 2" xfId="33"/>
    <cellStyle name="Comma 20" xfId="145"/>
    <cellStyle name="Comma 21" xfId="146"/>
    <cellStyle name="Comma 22" xfId="147"/>
    <cellStyle name="Comma 23" xfId="148"/>
    <cellStyle name="Comma 24" xfId="149"/>
    <cellStyle name="Comma 25" xfId="150"/>
    <cellStyle name="Comma 26" xfId="151"/>
    <cellStyle name="Comma 27" xfId="152"/>
    <cellStyle name="Comma 28" xfId="153"/>
    <cellStyle name="Comma 29" xfId="154"/>
    <cellStyle name="Comma 3" xfId="40"/>
    <cellStyle name="Comma 30" xfId="155"/>
    <cellStyle name="Comma 31" xfId="156"/>
    <cellStyle name="Comma 32" xfId="157"/>
    <cellStyle name="Comma 33" xfId="158"/>
    <cellStyle name="Comma 34" xfId="159"/>
    <cellStyle name="Comma 35" xfId="160"/>
    <cellStyle name="Comma 36" xfId="161"/>
    <cellStyle name="Comma 37" xfId="162"/>
    <cellStyle name="Comma 38" xfId="163"/>
    <cellStyle name="Comma 39" xfId="164"/>
    <cellStyle name="Comma 4" xfId="165"/>
    <cellStyle name="Comma 40" xfId="166"/>
    <cellStyle name="Comma 41" xfId="167"/>
    <cellStyle name="Comma 42" xfId="168"/>
    <cellStyle name="Comma 43" xfId="169"/>
    <cellStyle name="Comma 44" xfId="170"/>
    <cellStyle name="Comma 45" xfId="171"/>
    <cellStyle name="Comma 46" xfId="172"/>
    <cellStyle name="Comma 47" xfId="173"/>
    <cellStyle name="Comma 48" xfId="174"/>
    <cellStyle name="Comma 49" xfId="175"/>
    <cellStyle name="Comma 5" xfId="176"/>
    <cellStyle name="Comma 50" xfId="177"/>
    <cellStyle name="Comma 51" xfId="178"/>
    <cellStyle name="Comma 52" xfId="179"/>
    <cellStyle name="Comma 53" xfId="180"/>
    <cellStyle name="Comma 54" xfId="181"/>
    <cellStyle name="Comma 55" xfId="182"/>
    <cellStyle name="Comma 56" xfId="183"/>
    <cellStyle name="Comma 57" xfId="184"/>
    <cellStyle name="Comma 58" xfId="185"/>
    <cellStyle name="Comma 59" xfId="186"/>
    <cellStyle name="Comma 6" xfId="34"/>
    <cellStyle name="Comma 60" xfId="187"/>
    <cellStyle name="Comma 61" xfId="188"/>
    <cellStyle name="Comma 62" xfId="189"/>
    <cellStyle name="Comma 63" xfId="190"/>
    <cellStyle name="Comma 64" xfId="191"/>
    <cellStyle name="Comma 65" xfId="192"/>
    <cellStyle name="Comma 66" xfId="193"/>
    <cellStyle name="Comma 67" xfId="194"/>
    <cellStyle name="Comma 68" xfId="195"/>
    <cellStyle name="Comma 69" xfId="196"/>
    <cellStyle name="Comma 7" xfId="197"/>
    <cellStyle name="Comma 70" xfId="198"/>
    <cellStyle name="Comma 71" xfId="199"/>
    <cellStyle name="Comma 72" xfId="200"/>
    <cellStyle name="Comma 73" xfId="201"/>
    <cellStyle name="Comma 74" xfId="202"/>
    <cellStyle name="Comma 75" xfId="203"/>
    <cellStyle name="Comma 76" xfId="204"/>
    <cellStyle name="Comma 77" xfId="205"/>
    <cellStyle name="Comma 78" xfId="206"/>
    <cellStyle name="Comma 79" xfId="207"/>
    <cellStyle name="Comma 8" xfId="208"/>
    <cellStyle name="Comma 80" xfId="209"/>
    <cellStyle name="Comma 81" xfId="210"/>
    <cellStyle name="Comma 82" xfId="211"/>
    <cellStyle name="Comma 83" xfId="212"/>
    <cellStyle name="Comma 84" xfId="213"/>
    <cellStyle name="Comma 85" xfId="214"/>
    <cellStyle name="Comma 86" xfId="215"/>
    <cellStyle name="Comma 87" xfId="216"/>
    <cellStyle name="Comma 88" xfId="217"/>
    <cellStyle name="Comma 89" xfId="218"/>
    <cellStyle name="Comma 9" xfId="219"/>
    <cellStyle name="Comma 90" xfId="220"/>
    <cellStyle name="Comma 91" xfId="221"/>
    <cellStyle name="Comma 92" xfId="222"/>
    <cellStyle name="Comma 93" xfId="223"/>
    <cellStyle name="Comma 94" xfId="224"/>
    <cellStyle name="Comma 95" xfId="225"/>
    <cellStyle name="Comma 96" xfId="226"/>
    <cellStyle name="Comma 97" xfId="227"/>
    <cellStyle name="Comma 98" xfId="228"/>
    <cellStyle name="Comma 99" xfId="229"/>
    <cellStyle name="Comma_RC Cost of Service Schedules Template" xfId="5"/>
    <cellStyle name="Comma0" xfId="6"/>
    <cellStyle name="CompanyNum" xfId="7"/>
    <cellStyle name="Currdncy_P-9 - trans by region" xfId="8"/>
    <cellStyle name="Currency" xfId="37" builtinId="4"/>
    <cellStyle name="Currency [0] 2" xfId="230"/>
    <cellStyle name="Currency 10" xfId="231"/>
    <cellStyle name="Currency 100" xfId="232"/>
    <cellStyle name="Currency 101" xfId="233"/>
    <cellStyle name="Currency 102" xfId="234"/>
    <cellStyle name="Currency 103" xfId="235"/>
    <cellStyle name="Currency 104" xfId="236"/>
    <cellStyle name="Currency 105" xfId="237"/>
    <cellStyle name="Currency 106" xfId="238"/>
    <cellStyle name="Currency 107" xfId="239"/>
    <cellStyle name="Currency 108" xfId="240"/>
    <cellStyle name="Currency 109" xfId="241"/>
    <cellStyle name="Currency 11" xfId="242"/>
    <cellStyle name="Currency 110" xfId="243"/>
    <cellStyle name="Currency 111" xfId="244"/>
    <cellStyle name="Currency 112" xfId="245"/>
    <cellStyle name="Currency 113" xfId="246"/>
    <cellStyle name="Currency 114" xfId="247"/>
    <cellStyle name="Currency 115" xfId="248"/>
    <cellStyle name="Currency 116" xfId="249"/>
    <cellStyle name="Currency 117" xfId="250"/>
    <cellStyle name="Currency 118" xfId="251"/>
    <cellStyle name="Currency 119" xfId="252"/>
    <cellStyle name="Currency 12" xfId="253"/>
    <cellStyle name="Currency 120" xfId="254"/>
    <cellStyle name="Currency 121" xfId="255"/>
    <cellStyle name="Currency 122" xfId="256"/>
    <cellStyle name="Currency 123" xfId="257"/>
    <cellStyle name="Currency 124" xfId="258"/>
    <cellStyle name="Currency 125" xfId="259"/>
    <cellStyle name="Currency 126" xfId="260"/>
    <cellStyle name="Currency 127" xfId="261"/>
    <cellStyle name="Currency 128" xfId="262"/>
    <cellStyle name="Currency 129" xfId="263"/>
    <cellStyle name="Currency 13" xfId="264"/>
    <cellStyle name="Currency 130" xfId="265"/>
    <cellStyle name="Currency 131" xfId="266"/>
    <cellStyle name="Currency 132" xfId="267"/>
    <cellStyle name="Currency 133" xfId="268"/>
    <cellStyle name="Currency 134" xfId="269"/>
    <cellStyle name="Currency 135" xfId="270"/>
    <cellStyle name="Currency 136" xfId="271"/>
    <cellStyle name="Currency 137" xfId="272"/>
    <cellStyle name="Currency 138" xfId="273"/>
    <cellStyle name="Currency 139" xfId="274"/>
    <cellStyle name="Currency 14" xfId="275"/>
    <cellStyle name="Currency 140" xfId="276"/>
    <cellStyle name="Currency 141" xfId="277"/>
    <cellStyle name="Currency 142" xfId="278"/>
    <cellStyle name="Currency 143" xfId="279"/>
    <cellStyle name="Currency 144" xfId="280"/>
    <cellStyle name="Currency 145" xfId="281"/>
    <cellStyle name="Currency 146" xfId="282"/>
    <cellStyle name="Currency 147" xfId="283"/>
    <cellStyle name="Currency 148" xfId="284"/>
    <cellStyle name="Currency 149" xfId="285"/>
    <cellStyle name="Currency 15" xfId="286"/>
    <cellStyle name="Currency 150" xfId="287"/>
    <cellStyle name="Currency 151" xfId="288"/>
    <cellStyle name="Currency 152" xfId="289"/>
    <cellStyle name="Currency 153" xfId="290"/>
    <cellStyle name="Currency 154" xfId="291"/>
    <cellStyle name="Currency 155" xfId="292"/>
    <cellStyle name="Currency 156" xfId="293"/>
    <cellStyle name="Currency 157" xfId="294"/>
    <cellStyle name="Currency 158" xfId="295"/>
    <cellStyle name="Currency 159" xfId="296"/>
    <cellStyle name="Currency 16" xfId="297"/>
    <cellStyle name="Currency 160" xfId="298"/>
    <cellStyle name="Currency 161" xfId="299"/>
    <cellStyle name="Currency 162" xfId="300"/>
    <cellStyle name="Currency 163" xfId="301"/>
    <cellStyle name="Currency 164" xfId="302"/>
    <cellStyle name="Currency 165" xfId="303"/>
    <cellStyle name="Currency 166" xfId="304"/>
    <cellStyle name="Currency 167" xfId="305"/>
    <cellStyle name="Currency 168" xfId="306"/>
    <cellStyle name="Currency 169" xfId="307"/>
    <cellStyle name="Currency 17" xfId="308"/>
    <cellStyle name="Currency 170" xfId="309"/>
    <cellStyle name="Currency 171" xfId="310"/>
    <cellStyle name="Currency 172" xfId="311"/>
    <cellStyle name="Currency 173" xfId="312"/>
    <cellStyle name="Currency 174" xfId="313"/>
    <cellStyle name="Currency 175" xfId="314"/>
    <cellStyle name="Currency 176" xfId="315"/>
    <cellStyle name="Currency 177" xfId="316"/>
    <cellStyle name="Currency 178" xfId="317"/>
    <cellStyle name="Currency 179" xfId="318"/>
    <cellStyle name="Currency 18" xfId="319"/>
    <cellStyle name="Currency 180" xfId="320"/>
    <cellStyle name="Currency 181" xfId="321"/>
    <cellStyle name="Currency 182" xfId="322"/>
    <cellStyle name="Currency 183" xfId="323"/>
    <cellStyle name="Currency 184" xfId="324"/>
    <cellStyle name="Currency 185" xfId="325"/>
    <cellStyle name="Currency 186" xfId="326"/>
    <cellStyle name="Currency 187" xfId="327"/>
    <cellStyle name="Currency 19" xfId="328"/>
    <cellStyle name="Currency 2" xfId="45"/>
    <cellStyle name="Currency 2 2" xfId="38"/>
    <cellStyle name="Currency 20" xfId="329"/>
    <cellStyle name="Currency 21" xfId="330"/>
    <cellStyle name="Currency 22" xfId="331"/>
    <cellStyle name="Currency 23" xfId="332"/>
    <cellStyle name="Currency 24" xfId="333"/>
    <cellStyle name="Currency 25" xfId="334"/>
    <cellStyle name="Currency 26" xfId="335"/>
    <cellStyle name="Currency 27" xfId="336"/>
    <cellStyle name="Currency 28" xfId="337"/>
    <cellStyle name="Currency 29" xfId="338"/>
    <cellStyle name="Currency 3" xfId="41"/>
    <cellStyle name="Currency 30" xfId="339"/>
    <cellStyle name="Currency 31" xfId="340"/>
    <cellStyle name="Currency 32" xfId="341"/>
    <cellStyle name="Currency 33" xfId="342"/>
    <cellStyle name="Currency 34" xfId="343"/>
    <cellStyle name="Currency 35" xfId="344"/>
    <cellStyle name="Currency 36" xfId="345"/>
    <cellStyle name="Currency 37" xfId="346"/>
    <cellStyle name="Currency 38" xfId="347"/>
    <cellStyle name="Currency 39" xfId="348"/>
    <cellStyle name="Currency 4" xfId="349"/>
    <cellStyle name="Currency 40" xfId="350"/>
    <cellStyle name="Currency 41" xfId="351"/>
    <cellStyle name="Currency 42" xfId="352"/>
    <cellStyle name="Currency 43" xfId="353"/>
    <cellStyle name="Currency 44" xfId="354"/>
    <cellStyle name="Currency 45" xfId="355"/>
    <cellStyle name="Currency 46" xfId="356"/>
    <cellStyle name="Currency 47" xfId="357"/>
    <cellStyle name="Currency 48" xfId="358"/>
    <cellStyle name="Currency 49" xfId="359"/>
    <cellStyle name="Currency 5" xfId="360"/>
    <cellStyle name="Currency 50" xfId="361"/>
    <cellStyle name="Currency 51" xfId="362"/>
    <cellStyle name="Currency 52" xfId="363"/>
    <cellStyle name="Currency 53" xfId="364"/>
    <cellStyle name="Currency 54" xfId="365"/>
    <cellStyle name="Currency 55" xfId="366"/>
    <cellStyle name="Currency 56" xfId="367"/>
    <cellStyle name="Currency 57" xfId="368"/>
    <cellStyle name="Currency 58" xfId="369"/>
    <cellStyle name="Currency 59" xfId="370"/>
    <cellStyle name="Currency 6" xfId="371"/>
    <cellStyle name="Currency 60" xfId="372"/>
    <cellStyle name="Currency 61" xfId="373"/>
    <cellStyle name="Currency 62" xfId="374"/>
    <cellStyle name="Currency 63" xfId="375"/>
    <cellStyle name="Currency 64" xfId="376"/>
    <cellStyle name="Currency 65" xfId="377"/>
    <cellStyle name="Currency 66" xfId="378"/>
    <cellStyle name="Currency 67" xfId="379"/>
    <cellStyle name="Currency 68" xfId="380"/>
    <cellStyle name="Currency 69" xfId="381"/>
    <cellStyle name="Currency 7" xfId="382"/>
    <cellStyle name="Currency 70" xfId="383"/>
    <cellStyle name="Currency 71" xfId="384"/>
    <cellStyle name="Currency 72" xfId="385"/>
    <cellStyle name="Currency 73" xfId="386"/>
    <cellStyle name="Currency 74" xfId="387"/>
    <cellStyle name="Currency 75" xfId="388"/>
    <cellStyle name="Currency 76" xfId="389"/>
    <cellStyle name="Currency 77" xfId="390"/>
    <cellStyle name="Currency 78" xfId="391"/>
    <cellStyle name="Currency 79" xfId="392"/>
    <cellStyle name="Currency 8" xfId="393"/>
    <cellStyle name="Currency 80" xfId="394"/>
    <cellStyle name="Currency 81" xfId="395"/>
    <cellStyle name="Currency 82" xfId="396"/>
    <cellStyle name="Currency 83" xfId="397"/>
    <cellStyle name="Currency 84" xfId="398"/>
    <cellStyle name="Currency 85" xfId="399"/>
    <cellStyle name="Currency 86" xfId="400"/>
    <cellStyle name="Currency 87" xfId="401"/>
    <cellStyle name="Currency 88" xfId="402"/>
    <cellStyle name="Currency 89" xfId="403"/>
    <cellStyle name="Currency 9" xfId="404"/>
    <cellStyle name="Currency 90" xfId="405"/>
    <cellStyle name="Currency 91" xfId="406"/>
    <cellStyle name="Currency 92" xfId="407"/>
    <cellStyle name="Currency 93" xfId="408"/>
    <cellStyle name="Currency 94" xfId="409"/>
    <cellStyle name="Currency 95" xfId="410"/>
    <cellStyle name="Currency 96" xfId="411"/>
    <cellStyle name="Currency 97" xfId="412"/>
    <cellStyle name="Currency 98" xfId="413"/>
    <cellStyle name="Currency 99" xfId="414"/>
    <cellStyle name="Formula (,)" xfId="9"/>
    <cellStyle name="Formula (,0)" xfId="10"/>
    <cellStyle name="left" xfId="11"/>
    <cellStyle name="Monétaire_wind_resource_budget_hb (3)" xfId="12"/>
    <cellStyle name="Normal" xfId="0" builtinId="0"/>
    <cellStyle name="Normal 2" xfId="30"/>
    <cellStyle name="Normal 3" xfId="32"/>
    <cellStyle name="Normal 4" xfId="39"/>
    <cellStyle name="Normal_APP Reconciliation 0609" xfId="13"/>
    <cellStyle name="Normal_RC Cost of Service Schedules Template" xfId="14"/>
    <cellStyle name="Normal_Sheet1" xfId="15"/>
    <cellStyle name="Normal_Sheet1 2" xfId="43"/>
    <cellStyle name="Normal_Tax 2001 CWIP changes" xfId="16"/>
    <cellStyle name="Percent" xfId="17" builtinId="5"/>
    <cellStyle name="Percent 2" xfId="35"/>
    <cellStyle name="Percent 3" xfId="44"/>
    <cellStyle name="Percent 7" xfId="36"/>
    <cellStyle name="Percent 7 2" xfId="18"/>
    <cellStyle name="PSChar" xfId="19"/>
    <cellStyle name="PSDec" xfId="20"/>
    <cellStyle name="PSInt" xfId="21"/>
    <cellStyle name="TableStyleLight1" xfId="42"/>
    <cellStyle name="top" xfId="22"/>
    <cellStyle name="top align text" xfId="23"/>
    <cellStyle name="TOP ALIGNED" xfId="24"/>
    <cellStyle name="top alignment" xfId="25"/>
    <cellStyle name="top text" xfId="26"/>
    <cellStyle name="top wrap text" xfId="27"/>
    <cellStyle name="total column" xfId="28"/>
    <cellStyle name="wrap text" xfId="2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externalLink" Target="externalLinks/externalLink1.xml"/><Relationship Id="rId84"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19</xdr:row>
      <xdr:rowOff>152400</xdr:rowOff>
    </xdr:from>
    <xdr:to>
      <xdr:col>8</xdr:col>
      <xdr:colOff>114300</xdr:colOff>
      <xdr:row>29</xdr:row>
      <xdr:rowOff>47625</xdr:rowOff>
    </xdr:to>
    <xdr:pic>
      <xdr:nvPicPr>
        <xdr:cNvPr id="5530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53425" y="3305175"/>
          <a:ext cx="3228975" cy="15335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pja8756\Local%20Settings\Temporary%20Internet%20Files\OLK4AA\Copy%20of%20Tuscarora2011%20COS%20DRAFT%20Schedules-Proper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lan%20Lovinger\AppData\Local\Microsoft\Windows\INetCache\Content.Outlook\89M8CASW\Copy%20of%20Tuscarora2011%20COS%20DRAFT%20Schedules-Propert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Input and Macros"/>
      <sheetName val="A 1 of 3"/>
      <sheetName val="A 2 of 3"/>
      <sheetName val="A 3 of 3"/>
      <sheetName val="B 1 of 3"/>
      <sheetName val="B 2 of 3"/>
      <sheetName val="B 3 of 3"/>
      <sheetName val="Sched B-1 Pg 1"/>
      <sheetName val="Sched B-1 Pg 2"/>
      <sheetName val="Sched B-2"/>
      <sheetName val="C"/>
      <sheetName val="Sched C-1"/>
      <sheetName val="Sched C-1 Cont"/>
      <sheetName val="Sched C-2"/>
      <sheetName val="Sched C-3"/>
      <sheetName val="Sched C-4"/>
      <sheetName val="Sched C-5"/>
      <sheetName val="D"/>
      <sheetName val="Sched D-1"/>
      <sheetName val="Sched D-2"/>
      <sheetName val="E"/>
      <sheetName val="Sched E-1"/>
      <sheetName val="Sched E-2"/>
      <sheetName val="Sched E-3"/>
      <sheetName val="F-1"/>
      <sheetName val="F-2"/>
      <sheetName val="F-3"/>
      <sheetName val="F-4"/>
      <sheetName val="G-5"/>
      <sheetName val="H-1"/>
      <sheetName val="H-1 cont 2"/>
      <sheetName val="H-1Med"/>
      <sheetName val="H-1Coy"/>
      <sheetName val="H-1 ADJ"/>
      <sheetName val="H-1 Table"/>
      <sheetName val="H-1 (1)(a)"/>
      <sheetName val="H-1 (1)(a) cont 1"/>
      <sheetName val="H-1 (1)(a)Medford"/>
      <sheetName val="H-1 (1)(a)Coyote"/>
      <sheetName val="H-1 (1)(b)"/>
      <sheetName val="H-1 (1)(b) cont 1"/>
      <sheetName val="H-1 (1)(b)Medford"/>
      <sheetName val="H-1 (1)(b)Coyote"/>
      <sheetName val="H-1 (1)(c) PT1"/>
      <sheetName val="H-1 (1)(c) PT1 "/>
      <sheetName val="Sched H-1 (2)(b)"/>
      <sheetName val="Sched H-1 (2)(c)"/>
      <sheetName val="Sched H-1 (2)(d)"/>
      <sheetName val="Sched H-1 (2)(e)"/>
      <sheetName val="Sched H-1 (2)(f)"/>
      <sheetName val="Sched H-1 (2)(g)"/>
      <sheetName val="Sched H-1 (2)(h)"/>
      <sheetName val="Sched H-1 (2)(i)"/>
      <sheetName val="Sched H-1 (2)(j)"/>
      <sheetName val="Sched H-1 (2)(k)"/>
      <sheetName val="H-2 P1"/>
      <sheetName val="H-2 P2of3"/>
      <sheetName val="H-2 P3of3"/>
      <sheetName val="Sched H-2(1)"/>
      <sheetName val="H-3 P1of3"/>
      <sheetName val="H-3 P2of3"/>
      <sheetName val="H-3 P3of3"/>
      <sheetName val="H-3(1)"/>
      <sheetName val="H-3(2)"/>
      <sheetName val="H-4 1of3"/>
      <sheetName val="H-4 2of3"/>
      <sheetName val="Sched H-4 3of3"/>
      <sheetName val="I-1"/>
      <sheetName val="I-1(a)1"/>
      <sheetName val="I-1(b)"/>
      <sheetName val="Sched I-1(c)"/>
      <sheetName val="I-1(d) 1of1"/>
      <sheetName val="L"/>
      <sheetName val="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t="str">
            <v>Tuscarora Gas Transmission Company</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Input and Macros"/>
      <sheetName val="A 1 of 3"/>
      <sheetName val="A 2 of 3"/>
      <sheetName val="A 3 of 3"/>
      <sheetName val="B 1 of 3"/>
      <sheetName val="B 2 of 3"/>
      <sheetName val="B 3 of 3"/>
      <sheetName val="Sched B-1 Pg 1"/>
      <sheetName val="Sched B-1 Pg 2"/>
      <sheetName val="Sched B-2"/>
      <sheetName val="C"/>
      <sheetName val="Sched C-1"/>
      <sheetName val="Sched C-1 Cont"/>
      <sheetName val="Sched C-2"/>
      <sheetName val="Sched C-3"/>
      <sheetName val="Sched C-4"/>
      <sheetName val="Sched C-5"/>
      <sheetName val="D"/>
      <sheetName val="Sched D-1"/>
      <sheetName val="Sched D-2"/>
      <sheetName val="E"/>
      <sheetName val="Sched E-1"/>
      <sheetName val="Sched E-2"/>
      <sheetName val="Sched E-3"/>
      <sheetName val="F-1"/>
      <sheetName val="F-2"/>
      <sheetName val="F-3"/>
      <sheetName val="F-4"/>
      <sheetName val="G-5"/>
      <sheetName val="H-1"/>
      <sheetName val="H-1 cont 2"/>
      <sheetName val="H-1Med"/>
      <sheetName val="H-1Coy"/>
      <sheetName val="H-1 ADJ"/>
      <sheetName val="H-1 Table"/>
      <sheetName val="H-1 (1)(a)"/>
      <sheetName val="H-1 (1)(a) cont 1"/>
      <sheetName val="H-1 (1)(a)Medford"/>
      <sheetName val="H-1 (1)(a)Coyote"/>
      <sheetName val="H-1 (1)(b)"/>
      <sheetName val="H-1 (1)(b) cont 1"/>
      <sheetName val="H-1 (1)(b)Medford"/>
      <sheetName val="H-1 (1)(b)Coyote"/>
      <sheetName val="H-1 (1)(c) PT1"/>
      <sheetName val="H-1 (1)(c) PT1 "/>
      <sheetName val="Sched H-1 (2)(b)"/>
      <sheetName val="Sched H-1 (2)(c)"/>
      <sheetName val="Sched H-1 (2)(d)"/>
      <sheetName val="Sched H-1 (2)(e)"/>
      <sheetName val="Sched H-1 (2)(f)"/>
      <sheetName val="Sched H-1 (2)(g)"/>
      <sheetName val="Sched H-1 (2)(h)"/>
      <sheetName val="Sched H-1 (2)(i)"/>
      <sheetName val="Sched H-1 (2)(j)"/>
      <sheetName val="Sched H-1 (2)(k)"/>
      <sheetName val="H-2 P1"/>
      <sheetName val="H-2 P2of3"/>
      <sheetName val="H-2 P3of3"/>
      <sheetName val="Sched H-2(1)"/>
      <sheetName val="H-3 P1of3"/>
      <sheetName val="H-3 P2of3"/>
      <sheetName val="H-3 P3of3"/>
      <sheetName val="H-3(1)"/>
      <sheetName val="H-3(2)"/>
      <sheetName val="H-4 1of3"/>
      <sheetName val="H-4 2of3"/>
      <sheetName val="Sched H-4 3of3"/>
      <sheetName val="I-1"/>
      <sheetName val="I-1(a)1"/>
      <sheetName val="I-1(b)"/>
      <sheetName val="Sched I-1(c)"/>
      <sheetName val="I-1(d) 1of1"/>
      <sheetName val="L"/>
      <sheetName val="M"/>
    </sheetNames>
    <sheetDataSet>
      <sheetData sheetId="0" refreshError="1"/>
      <sheetData sheetId="1" refreshError="1">
        <row r="1">
          <cell r="E1" t="str">
            <v>Docket No. RP11-1823-000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indexed="17"/>
    <pageSetUpPr fitToPage="1"/>
  </sheetPr>
  <dimension ref="A1:H390"/>
  <sheetViews>
    <sheetView workbookViewId="0">
      <selection activeCell="B26" sqref="B26"/>
    </sheetView>
  </sheetViews>
  <sheetFormatPr defaultRowHeight="12.75"/>
  <cols>
    <col min="1" max="1" width="4.42578125" bestFit="1" customWidth="1"/>
    <col min="2" max="2" width="56.85546875" customWidth="1"/>
    <col min="3" max="3" width="28.42578125" style="16" customWidth="1"/>
    <col min="4" max="4" width="17.5703125" bestFit="1" customWidth="1"/>
    <col min="5" max="5" width="18" bestFit="1" customWidth="1"/>
    <col min="6" max="6" width="12.7109375" bestFit="1" customWidth="1"/>
    <col min="7" max="7" width="17.42578125" bestFit="1" customWidth="1"/>
    <col min="8" max="8" width="16.5703125" bestFit="1" customWidth="1"/>
  </cols>
  <sheetData>
    <row r="1" spans="1:8">
      <c r="H1" t="str">
        <f>A!D1</f>
        <v>Docket No. RP16-299-000</v>
      </c>
    </row>
    <row r="2" spans="1:8">
      <c r="H2" t="s">
        <v>36</v>
      </c>
    </row>
    <row r="4" spans="1:8">
      <c r="A4" s="927" t="str">
        <f>'F-1'!A4:H4</f>
        <v>Tuscarora Gas Transmission Company</v>
      </c>
      <c r="B4" s="927"/>
      <c r="C4" s="927"/>
      <c r="D4" s="927"/>
      <c r="E4" s="927"/>
      <c r="F4" s="927"/>
      <c r="G4" s="927"/>
      <c r="H4" s="927"/>
    </row>
    <row r="5" spans="1:8">
      <c r="A5" s="927" t="s">
        <v>37</v>
      </c>
      <c r="B5" s="927"/>
      <c r="C5" s="927"/>
      <c r="D5" s="927"/>
      <c r="E5" s="927"/>
      <c r="F5" s="927"/>
      <c r="G5" s="927"/>
      <c r="H5" s="927"/>
    </row>
    <row r="6" spans="1:8">
      <c r="A6" s="928" t="s">
        <v>668</v>
      </c>
      <c r="B6" s="928"/>
      <c r="C6" s="928"/>
      <c r="D6" s="928"/>
      <c r="E6" s="928"/>
      <c r="F6" s="928"/>
      <c r="G6" s="928"/>
      <c r="H6" s="928"/>
    </row>
    <row r="7" spans="1:8">
      <c r="A7" s="927"/>
      <c r="B7" s="927"/>
      <c r="C7" s="927"/>
      <c r="D7" s="927"/>
      <c r="E7" s="927"/>
      <c r="F7" s="927"/>
      <c r="G7" s="927"/>
      <c r="H7" s="927"/>
    </row>
    <row r="9" spans="1:8">
      <c r="A9" t="s">
        <v>352</v>
      </c>
      <c r="C9" s="14" t="s">
        <v>38</v>
      </c>
      <c r="D9" s="2"/>
      <c r="E9" s="36">
        <f>'Title Input and Macros'!B14</f>
        <v>42551</v>
      </c>
      <c r="F9" s="2" t="s">
        <v>40</v>
      </c>
      <c r="G9" s="2" t="s">
        <v>43</v>
      </c>
      <c r="H9" s="2" t="s">
        <v>45</v>
      </c>
    </row>
    <row r="10" spans="1:8" ht="14.25">
      <c r="A10" s="1" t="s">
        <v>353</v>
      </c>
      <c r="B10" s="3" t="s">
        <v>354</v>
      </c>
      <c r="C10" s="27" t="str">
        <f>A6</f>
        <v>April 30, 2011, As Adjusted</v>
      </c>
      <c r="D10" s="17" t="s">
        <v>463</v>
      </c>
      <c r="E10" s="3" t="s">
        <v>39</v>
      </c>
      <c r="F10" s="3" t="s">
        <v>41</v>
      </c>
      <c r="G10" s="33" t="s">
        <v>44</v>
      </c>
      <c r="H10" s="3" t="s">
        <v>46</v>
      </c>
    </row>
    <row r="11" spans="1:8">
      <c r="B11" s="2" t="s">
        <v>361</v>
      </c>
      <c r="C11" s="14" t="s">
        <v>362</v>
      </c>
      <c r="D11" s="2" t="s">
        <v>366</v>
      </c>
      <c r="E11" s="2" t="s">
        <v>363</v>
      </c>
      <c r="F11" s="2" t="s">
        <v>364</v>
      </c>
      <c r="G11" s="2" t="s">
        <v>379</v>
      </c>
      <c r="H11" s="2" t="s">
        <v>380</v>
      </c>
    </row>
    <row r="12" spans="1:8">
      <c r="C12" s="14" t="s">
        <v>365</v>
      </c>
      <c r="D12" s="2" t="s">
        <v>365</v>
      </c>
      <c r="E12" s="2" t="s">
        <v>365</v>
      </c>
      <c r="F12" s="2" t="s">
        <v>42</v>
      </c>
      <c r="G12" s="2" t="s">
        <v>42</v>
      </c>
      <c r="H12" s="2" t="s">
        <v>42</v>
      </c>
    </row>
    <row r="13" spans="1:8">
      <c r="A13">
        <v>1</v>
      </c>
      <c r="B13" s="37" t="s">
        <v>423</v>
      </c>
      <c r="C13"/>
      <c r="F13" s="29"/>
      <c r="G13" s="29"/>
      <c r="H13" s="29"/>
    </row>
    <row r="14" spans="1:8">
      <c r="A14">
        <f>A13+1</f>
        <v>2</v>
      </c>
      <c r="B14" s="24" t="s">
        <v>378</v>
      </c>
      <c r="C14" s="5">
        <v>30883590</v>
      </c>
      <c r="D14" s="483">
        <f>C23</f>
        <v>-396875</v>
      </c>
      <c r="E14" s="5">
        <f>+C14-D14</f>
        <v>31280465</v>
      </c>
      <c r="F14" s="29">
        <f>+E14/E16</f>
        <v>0.36005753236975618</v>
      </c>
      <c r="G14" s="47">
        <f>'F-3'!R21</f>
        <v>0</v>
      </c>
      <c r="H14" s="29">
        <f>+ROUND(F14*G14,4)</f>
        <v>0</v>
      </c>
    </row>
    <row r="15" spans="1:8">
      <c r="A15">
        <f>A14+1</f>
        <v>3</v>
      </c>
      <c r="B15" s="24" t="s">
        <v>349</v>
      </c>
      <c r="C15" s="301">
        <v>64388637</v>
      </c>
      <c r="D15" s="365">
        <f>C29</f>
        <v>-8792805.3311749995</v>
      </c>
      <c r="E15" s="5">
        <f>+C15+D15</f>
        <v>55595831.668825001</v>
      </c>
      <c r="F15" s="29">
        <f>+E15/E16</f>
        <v>0.63994246763024376</v>
      </c>
      <c r="G15" s="333">
        <v>0.13</v>
      </c>
      <c r="H15" s="29">
        <f>ROUND(+F15*G15,4)</f>
        <v>8.3199999999999996E-2</v>
      </c>
    </row>
    <row r="16" spans="1:8" ht="13.5" thickBot="1">
      <c r="A16">
        <f>A15+1</f>
        <v>4</v>
      </c>
      <c r="B16" s="24" t="s">
        <v>356</v>
      </c>
      <c r="C16" s="69">
        <f>SUM(C14:C15)</f>
        <v>95272227</v>
      </c>
      <c r="D16" s="69">
        <f>SUM(D14:D15)</f>
        <v>-9189680.3311749995</v>
      </c>
      <c r="E16" s="69">
        <f>SUM(E14:E15)</f>
        <v>86876296.668825001</v>
      </c>
      <c r="F16" s="38">
        <f>SUM(F13:F15)</f>
        <v>1</v>
      </c>
      <c r="G16" s="101"/>
      <c r="H16" s="38">
        <f>SUM(H13:H15)</f>
        <v>8.3199999999999996E-2</v>
      </c>
    </row>
    <row r="17" spans="2:8" ht="13.5" thickTop="1">
      <c r="D17" s="5"/>
      <c r="E17" s="5"/>
      <c r="F17" s="29"/>
      <c r="G17" s="29"/>
      <c r="H17" s="29"/>
    </row>
    <row r="18" spans="2:8">
      <c r="C18" s="302"/>
      <c r="D18" s="5"/>
      <c r="E18" s="5"/>
      <c r="F18" s="29"/>
      <c r="G18" s="29"/>
      <c r="H18" s="29"/>
    </row>
    <row r="19" spans="2:8" ht="15.75">
      <c r="B19" s="25"/>
      <c r="C19" s="302"/>
      <c r="D19" s="5"/>
      <c r="E19" s="5"/>
      <c r="F19" s="29"/>
      <c r="G19" s="29"/>
      <c r="H19" s="29"/>
    </row>
    <row r="20" spans="2:8">
      <c r="C20" s="302"/>
      <c r="D20" s="5"/>
      <c r="E20" s="148"/>
      <c r="F20" s="29"/>
      <c r="G20" s="29"/>
      <c r="H20" s="29"/>
    </row>
    <row r="21" spans="2:8" ht="14.25">
      <c r="B21" t="s">
        <v>464</v>
      </c>
      <c r="D21" s="5"/>
      <c r="E21" s="5"/>
      <c r="F21" s="29"/>
      <c r="G21" s="29"/>
      <c r="H21" s="29"/>
    </row>
    <row r="22" spans="2:8">
      <c r="B22" s="42" t="s">
        <v>378</v>
      </c>
      <c r="D22" s="5"/>
      <c r="E22" s="5"/>
      <c r="F22" s="29"/>
      <c r="G22" s="29"/>
      <c r="H22" s="29"/>
    </row>
    <row r="23" spans="2:8">
      <c r="B23" t="s">
        <v>749</v>
      </c>
      <c r="C23" s="365">
        <v>-396875</v>
      </c>
      <c r="D23" s="5"/>
      <c r="E23" s="5"/>
      <c r="F23" s="29"/>
      <c r="G23" s="29"/>
      <c r="H23" s="29"/>
    </row>
    <row r="24" spans="2:8">
      <c r="C24" s="365"/>
      <c r="D24" s="5"/>
      <c r="E24" s="5"/>
      <c r="F24" s="29"/>
      <c r="G24" s="29"/>
      <c r="H24" s="29"/>
    </row>
    <row r="25" spans="2:8">
      <c r="B25" s="42" t="s">
        <v>349</v>
      </c>
      <c r="C25" s="365"/>
      <c r="D25" s="5"/>
      <c r="E25" s="5"/>
      <c r="F25" s="29"/>
      <c r="G25" s="29"/>
      <c r="H25" s="29"/>
    </row>
    <row r="26" spans="2:8">
      <c r="B26" t="s">
        <v>0</v>
      </c>
      <c r="C26" s="267">
        <f>C39</f>
        <v>3836193.6688250001</v>
      </c>
      <c r="D26" t="s">
        <v>4</v>
      </c>
      <c r="E26" s="5"/>
      <c r="F26" s="29"/>
      <c r="G26" s="29"/>
      <c r="H26" s="29"/>
    </row>
    <row r="27" spans="2:8">
      <c r="B27" t="s">
        <v>747</v>
      </c>
      <c r="C27" s="267">
        <v>-6440526</v>
      </c>
      <c r="E27" s="5"/>
      <c r="F27" s="29"/>
      <c r="G27" s="29"/>
      <c r="H27" s="29"/>
    </row>
    <row r="28" spans="2:8">
      <c r="B28" t="s">
        <v>748</v>
      </c>
      <c r="C28" s="322">
        <v>-6188473</v>
      </c>
      <c r="D28" s="5"/>
      <c r="E28" s="5"/>
      <c r="F28" s="5"/>
    </row>
    <row r="29" spans="2:8">
      <c r="C29" s="365">
        <f>SUM(C26:C28)</f>
        <v>-8792805.3311749995</v>
      </c>
      <c r="D29" s="5"/>
      <c r="E29" s="5"/>
      <c r="F29" s="5"/>
    </row>
    <row r="30" spans="2:8">
      <c r="D30" s="5"/>
      <c r="E30" s="5"/>
      <c r="F30" s="5"/>
    </row>
    <row r="31" spans="2:8">
      <c r="D31" s="5"/>
      <c r="E31" s="5"/>
      <c r="F31" s="5"/>
    </row>
    <row r="32" spans="2:8">
      <c r="D32" s="5"/>
      <c r="E32" s="5"/>
      <c r="F32" s="5"/>
    </row>
    <row r="33" spans="2:6">
      <c r="B33" t="s">
        <v>2</v>
      </c>
      <c r="C33" s="365">
        <v>12717908</v>
      </c>
      <c r="D33" s="5"/>
      <c r="E33" s="5"/>
      <c r="F33" s="5"/>
    </row>
    <row r="34" spans="2:6">
      <c r="B34" t="s">
        <v>1</v>
      </c>
      <c r="C34" s="368">
        <v>6420549</v>
      </c>
      <c r="D34" s="5"/>
      <c r="E34" s="5"/>
      <c r="F34" s="5"/>
    </row>
    <row r="35" spans="2:6">
      <c r="B35" t="s">
        <v>3</v>
      </c>
      <c r="C35" s="365">
        <f>C33-C34</f>
        <v>6297359</v>
      </c>
      <c r="E35" s="5"/>
      <c r="F35" s="5"/>
    </row>
    <row r="36" spans="2:6">
      <c r="C36" s="279"/>
      <c r="D36" s="5"/>
      <c r="E36" s="5"/>
      <c r="F36" s="5"/>
    </row>
    <row r="37" spans="2:6">
      <c r="B37" t="s">
        <v>5</v>
      </c>
      <c r="C37" s="365">
        <f>C35*0.390825</f>
        <v>2461165.3311749999</v>
      </c>
      <c r="D37" s="5"/>
      <c r="E37" s="5"/>
      <c r="F37" s="5"/>
    </row>
    <row r="38" spans="2:6">
      <c r="D38" s="5"/>
      <c r="E38" s="5"/>
      <c r="F38" s="5"/>
    </row>
    <row r="39" spans="2:6">
      <c r="B39" t="s">
        <v>8</v>
      </c>
      <c r="C39" s="365">
        <f>C35-C37</f>
        <v>3836193.6688250001</v>
      </c>
      <c r="D39" s="5" t="s">
        <v>4</v>
      </c>
      <c r="E39" s="5"/>
      <c r="F39" s="5"/>
    </row>
    <row r="40" spans="2:6">
      <c r="D40" s="5"/>
      <c r="E40" s="5"/>
      <c r="F40" s="5"/>
    </row>
    <row r="41" spans="2:6" hidden="1">
      <c r="B41" t="s">
        <v>6</v>
      </c>
      <c r="C41" s="365">
        <v>2338958</v>
      </c>
      <c r="D41" s="5"/>
      <c r="E41" s="5"/>
      <c r="F41" s="5"/>
    </row>
    <row r="42" spans="2:6" hidden="1">
      <c r="D42" s="5"/>
      <c r="E42" s="5"/>
      <c r="F42" s="5"/>
    </row>
    <row r="43" spans="2:6" hidden="1">
      <c r="D43" s="5"/>
      <c r="E43" s="5"/>
      <c r="F43" s="5"/>
    </row>
    <row r="44" spans="2:6" hidden="1">
      <c r="D44" s="5"/>
      <c r="E44" s="5"/>
      <c r="F44" s="5"/>
    </row>
    <row r="45" spans="2:6" hidden="1">
      <c r="D45" s="5"/>
      <c r="E45" s="5"/>
      <c r="F45" s="5"/>
    </row>
    <row r="46" spans="2:6" hidden="1">
      <c r="D46" s="5"/>
      <c r="E46" s="5"/>
      <c r="F46" s="5"/>
    </row>
    <row r="47" spans="2:6" hidden="1">
      <c r="D47" s="5"/>
      <c r="E47" s="5"/>
      <c r="F47" s="5"/>
    </row>
    <row r="48" spans="2:6" hidden="1">
      <c r="D48" s="5"/>
      <c r="E48" s="5"/>
      <c r="F48" s="5"/>
    </row>
    <row r="49" spans="2:6" hidden="1">
      <c r="D49" s="5"/>
      <c r="E49" s="5"/>
      <c r="F49" s="5"/>
    </row>
    <row r="50" spans="2:6" hidden="1">
      <c r="D50" s="5"/>
      <c r="E50" s="5"/>
      <c r="F50" s="5"/>
    </row>
    <row r="51" spans="2:6" hidden="1">
      <c r="D51" s="5"/>
      <c r="E51" s="5"/>
      <c r="F51" s="5"/>
    </row>
    <row r="52" spans="2:6" hidden="1">
      <c r="D52" s="5"/>
      <c r="E52" s="5"/>
      <c r="F52" s="5"/>
    </row>
    <row r="53" spans="2:6" hidden="1">
      <c r="D53" s="5"/>
      <c r="E53" s="5"/>
      <c r="F53" s="5"/>
    </row>
    <row r="54" spans="2:6" hidden="1">
      <c r="D54" s="5"/>
      <c r="E54" s="5"/>
      <c r="F54" s="5"/>
    </row>
    <row r="55" spans="2:6" hidden="1">
      <c r="D55" s="5"/>
      <c r="E55" s="5"/>
      <c r="F55" s="5"/>
    </row>
    <row r="56" spans="2:6" hidden="1">
      <c r="D56" s="5"/>
      <c r="E56" s="5"/>
      <c r="F56" s="5"/>
    </row>
    <row r="57" spans="2:6" hidden="1">
      <c r="D57" s="5"/>
      <c r="E57" s="5"/>
      <c r="F57" s="5"/>
    </row>
    <row r="58" spans="2:6" hidden="1">
      <c r="D58" s="5"/>
      <c r="E58" s="5"/>
      <c r="F58" s="5"/>
    </row>
    <row r="59" spans="2:6" hidden="1">
      <c r="D59" s="5"/>
      <c r="E59" s="5"/>
      <c r="F59" s="5"/>
    </row>
    <row r="60" spans="2:6" hidden="1">
      <c r="D60" s="5"/>
      <c r="E60" s="5"/>
      <c r="F60" s="5"/>
    </row>
    <row r="61" spans="2:6" hidden="1">
      <c r="D61" s="5"/>
      <c r="E61" s="5"/>
      <c r="F61" s="5"/>
    </row>
    <row r="62" spans="2:6" hidden="1">
      <c r="D62" s="5"/>
      <c r="E62" s="5"/>
      <c r="F62" s="5"/>
    </row>
    <row r="63" spans="2:6" hidden="1">
      <c r="B63" s="10" t="s">
        <v>7</v>
      </c>
      <c r="D63" s="5"/>
      <c r="E63" s="5"/>
      <c r="F63" s="5"/>
    </row>
    <row r="64" spans="2:6" hidden="1">
      <c r="D64" s="5"/>
      <c r="E64" s="5"/>
      <c r="F64" s="5"/>
    </row>
    <row r="65" spans="4:6" hidden="1">
      <c r="D65" s="5"/>
      <c r="E65" s="5"/>
      <c r="F65" s="5"/>
    </row>
    <row r="66" spans="4:6" hidden="1">
      <c r="D66" s="5"/>
      <c r="E66" s="5"/>
      <c r="F66" s="5"/>
    </row>
    <row r="67" spans="4:6" hidden="1">
      <c r="D67" s="5"/>
      <c r="E67" s="5"/>
      <c r="F67" s="5"/>
    </row>
    <row r="68" spans="4:6">
      <c r="D68" s="5"/>
      <c r="E68" s="5"/>
      <c r="F68" s="5"/>
    </row>
    <row r="69" spans="4:6">
      <c r="D69" s="5"/>
      <c r="E69" s="5"/>
      <c r="F69" s="5"/>
    </row>
    <row r="70" spans="4:6">
      <c r="D70" s="5"/>
      <c r="E70" s="5"/>
      <c r="F70" s="5"/>
    </row>
    <row r="71" spans="4:6">
      <c r="D71" s="5"/>
      <c r="E71" s="5"/>
      <c r="F71" s="5"/>
    </row>
    <row r="72" spans="4:6">
      <c r="D72" s="5"/>
      <c r="E72" s="5"/>
      <c r="F72" s="5"/>
    </row>
    <row r="73" spans="4:6">
      <c r="D73" s="5"/>
      <c r="E73" s="5"/>
      <c r="F73" s="5"/>
    </row>
    <row r="74" spans="4:6">
      <c r="D74" s="5"/>
      <c r="E74" s="5"/>
      <c r="F74" s="5"/>
    </row>
    <row r="75" spans="4:6">
      <c r="D75" s="5"/>
      <c r="E75" s="5"/>
      <c r="F75" s="5"/>
    </row>
    <row r="76" spans="4:6">
      <c r="D76" s="5"/>
      <c r="E76" s="5"/>
      <c r="F76" s="5"/>
    </row>
    <row r="77" spans="4:6">
      <c r="D77" s="5"/>
      <c r="E77" s="5"/>
      <c r="F77" s="5"/>
    </row>
    <row r="78" spans="4:6">
      <c r="D78" s="5"/>
      <c r="E78" s="5"/>
      <c r="F78" s="5"/>
    </row>
    <row r="79" spans="4:6">
      <c r="D79" s="5"/>
      <c r="E79" s="5"/>
      <c r="F79" s="5"/>
    </row>
    <row r="80" spans="4:6">
      <c r="D80" s="5"/>
      <c r="E80" s="5"/>
      <c r="F80" s="5"/>
    </row>
    <row r="81" spans="4:6">
      <c r="D81" s="5"/>
      <c r="E81" s="5"/>
      <c r="F81" s="5"/>
    </row>
    <row r="82" spans="4:6">
      <c r="D82" s="5"/>
      <c r="E82" s="5"/>
      <c r="F82" s="5"/>
    </row>
    <row r="83" spans="4:6">
      <c r="D83" s="5"/>
      <c r="E83" s="5"/>
      <c r="F83" s="5"/>
    </row>
    <row r="84" spans="4:6">
      <c r="D84" s="5"/>
      <c r="E84" s="5"/>
      <c r="F84" s="5"/>
    </row>
    <row r="85" spans="4:6">
      <c r="D85" s="5"/>
      <c r="E85" s="5"/>
      <c r="F85" s="5"/>
    </row>
    <row r="86" spans="4:6">
      <c r="D86" s="5"/>
      <c r="E86" s="5"/>
      <c r="F86" s="5"/>
    </row>
    <row r="87" spans="4:6">
      <c r="D87" s="5"/>
      <c r="E87" s="5"/>
      <c r="F87" s="5"/>
    </row>
    <row r="88" spans="4:6">
      <c r="D88" s="5"/>
      <c r="E88" s="5"/>
      <c r="F88" s="5"/>
    </row>
    <row r="89" spans="4:6">
      <c r="D89" s="5"/>
      <c r="E89" s="5"/>
      <c r="F89" s="5"/>
    </row>
    <row r="90" spans="4:6">
      <c r="D90" s="5"/>
      <c r="E90" s="5"/>
      <c r="F90" s="5"/>
    </row>
    <row r="91" spans="4:6">
      <c r="D91" s="5"/>
      <c r="E91" s="5"/>
      <c r="F91" s="5"/>
    </row>
    <row r="92" spans="4:6">
      <c r="D92" s="5"/>
      <c r="E92" s="5"/>
      <c r="F92" s="5"/>
    </row>
    <row r="93" spans="4:6">
      <c r="D93" s="5"/>
      <c r="E93" s="5"/>
      <c r="F93" s="5"/>
    </row>
    <row r="94" spans="4:6">
      <c r="D94" s="5"/>
      <c r="E94" s="5"/>
      <c r="F94" s="5"/>
    </row>
    <row r="95" spans="4:6">
      <c r="D95" s="5"/>
      <c r="E95" s="5"/>
      <c r="F95" s="5"/>
    </row>
    <row r="96" spans="4:6">
      <c r="D96" s="5"/>
      <c r="E96" s="5"/>
      <c r="F96" s="5"/>
    </row>
    <row r="97" spans="4:6">
      <c r="D97" s="5"/>
      <c r="E97" s="5"/>
      <c r="F97" s="5"/>
    </row>
    <row r="98" spans="4:6">
      <c r="D98" s="5"/>
      <c r="E98" s="5"/>
      <c r="F98" s="5"/>
    </row>
    <row r="99" spans="4:6">
      <c r="D99" s="5"/>
      <c r="E99" s="5"/>
      <c r="F99" s="5"/>
    </row>
    <row r="100" spans="4:6">
      <c r="D100" s="5"/>
      <c r="E100" s="5"/>
      <c r="F100" s="5"/>
    </row>
    <row r="101" spans="4:6">
      <c r="D101" s="5"/>
      <c r="E101" s="5"/>
      <c r="F101" s="5"/>
    </row>
    <row r="102" spans="4:6">
      <c r="D102" s="5"/>
      <c r="E102" s="5"/>
      <c r="F102" s="5"/>
    </row>
    <row r="103" spans="4:6">
      <c r="D103" s="5"/>
      <c r="E103" s="5"/>
      <c r="F103" s="5"/>
    </row>
    <row r="104" spans="4:6">
      <c r="D104" s="5"/>
      <c r="E104" s="5"/>
      <c r="F104" s="5"/>
    </row>
    <row r="105" spans="4:6">
      <c r="D105" s="5"/>
      <c r="E105" s="5"/>
      <c r="F105" s="5"/>
    </row>
    <row r="106" spans="4:6">
      <c r="D106" s="5"/>
      <c r="E106" s="5"/>
      <c r="F106" s="5"/>
    </row>
    <row r="107" spans="4:6">
      <c r="D107" s="5"/>
      <c r="E107" s="5"/>
      <c r="F107" s="5"/>
    </row>
    <row r="108" spans="4:6">
      <c r="D108" s="5"/>
      <c r="E108" s="5"/>
      <c r="F108" s="5"/>
    </row>
    <row r="109" spans="4:6">
      <c r="D109" s="5"/>
      <c r="E109" s="5"/>
      <c r="F109" s="5"/>
    </row>
    <row r="110" spans="4:6">
      <c r="D110" s="5"/>
      <c r="E110" s="5"/>
      <c r="F110" s="5"/>
    </row>
    <row r="111" spans="4:6">
      <c r="D111" s="5"/>
      <c r="E111" s="5"/>
      <c r="F111" s="5"/>
    </row>
    <row r="112" spans="4:6">
      <c r="D112" s="5"/>
      <c r="E112" s="5"/>
      <c r="F112" s="5"/>
    </row>
    <row r="113" spans="4:6">
      <c r="D113" s="5"/>
      <c r="E113" s="5"/>
      <c r="F113" s="5"/>
    </row>
    <row r="114" spans="4:6">
      <c r="D114" s="5"/>
      <c r="E114" s="5"/>
      <c r="F114" s="5"/>
    </row>
    <row r="115" spans="4:6">
      <c r="D115" s="5"/>
      <c r="E115" s="5"/>
      <c r="F115" s="5"/>
    </row>
    <row r="116" spans="4:6">
      <c r="D116" s="5"/>
      <c r="E116" s="5"/>
      <c r="F116" s="5"/>
    </row>
    <row r="117" spans="4:6">
      <c r="D117" s="5"/>
      <c r="E117" s="5"/>
      <c r="F117" s="5"/>
    </row>
    <row r="118" spans="4:6">
      <c r="D118" s="5"/>
      <c r="E118" s="5"/>
      <c r="F118" s="5"/>
    </row>
    <row r="119" spans="4:6">
      <c r="D119" s="5"/>
      <c r="E119" s="5"/>
      <c r="F119" s="5"/>
    </row>
    <row r="120" spans="4:6">
      <c r="D120" s="5"/>
      <c r="E120" s="5"/>
      <c r="F120" s="5"/>
    </row>
    <row r="121" spans="4:6">
      <c r="D121" s="5"/>
      <c r="E121" s="5"/>
      <c r="F121" s="5"/>
    </row>
    <row r="122" spans="4:6">
      <c r="D122" s="5"/>
      <c r="E122" s="5"/>
      <c r="F122" s="5"/>
    </row>
    <row r="123" spans="4:6">
      <c r="D123" s="5"/>
      <c r="E123" s="5"/>
      <c r="F123" s="5"/>
    </row>
    <row r="124" spans="4:6">
      <c r="D124" s="5"/>
      <c r="E124" s="5"/>
      <c r="F124" s="5"/>
    </row>
    <row r="125" spans="4:6">
      <c r="D125" s="5"/>
      <c r="E125" s="5"/>
      <c r="F125" s="5"/>
    </row>
    <row r="126" spans="4:6">
      <c r="D126" s="5"/>
      <c r="E126" s="5"/>
      <c r="F126" s="5"/>
    </row>
    <row r="127" spans="4:6">
      <c r="D127" s="5"/>
      <c r="E127" s="5"/>
      <c r="F127" s="5"/>
    </row>
    <row r="128" spans="4:6">
      <c r="D128" s="5"/>
      <c r="E128" s="5"/>
      <c r="F128" s="5"/>
    </row>
    <row r="129" spans="4:6">
      <c r="D129" s="5"/>
      <c r="E129" s="5"/>
      <c r="F129" s="5"/>
    </row>
    <row r="130" spans="4:6">
      <c r="D130" s="5"/>
      <c r="E130" s="5"/>
      <c r="F130" s="5"/>
    </row>
    <row r="131" spans="4:6">
      <c r="D131" s="5"/>
      <c r="E131" s="5"/>
      <c r="F131" s="5"/>
    </row>
    <row r="132" spans="4:6">
      <c r="D132" s="5"/>
      <c r="E132" s="5"/>
      <c r="F132" s="5"/>
    </row>
    <row r="133" spans="4:6">
      <c r="D133" s="5"/>
      <c r="E133" s="5"/>
      <c r="F133" s="5"/>
    </row>
    <row r="134" spans="4:6">
      <c r="D134" s="5"/>
      <c r="E134" s="5"/>
      <c r="F134" s="5"/>
    </row>
    <row r="135" spans="4:6">
      <c r="D135" s="5"/>
      <c r="E135" s="5"/>
      <c r="F135" s="5"/>
    </row>
    <row r="136" spans="4:6">
      <c r="D136" s="5"/>
      <c r="E136" s="5"/>
      <c r="F136" s="5"/>
    </row>
    <row r="137" spans="4:6">
      <c r="D137" s="5"/>
      <c r="E137" s="5"/>
      <c r="F137" s="5"/>
    </row>
    <row r="138" spans="4:6">
      <c r="D138" s="5"/>
      <c r="E138" s="5"/>
      <c r="F138" s="5"/>
    </row>
    <row r="139" spans="4:6">
      <c r="D139" s="5"/>
      <c r="E139" s="5"/>
      <c r="F139" s="5"/>
    </row>
    <row r="140" spans="4:6">
      <c r="D140" s="5"/>
      <c r="E140" s="5"/>
      <c r="F140" s="5"/>
    </row>
    <row r="141" spans="4:6">
      <c r="D141" s="5"/>
      <c r="E141" s="5"/>
      <c r="F141" s="5"/>
    </row>
    <row r="142" spans="4:6">
      <c r="D142" s="5"/>
      <c r="E142" s="5"/>
      <c r="F142" s="5"/>
    </row>
    <row r="143" spans="4:6">
      <c r="D143" s="5"/>
      <c r="E143" s="5"/>
      <c r="F143" s="5"/>
    </row>
    <row r="144" spans="4:6">
      <c r="D144" s="5"/>
      <c r="E144" s="5"/>
      <c r="F144" s="5"/>
    </row>
    <row r="145" spans="4:6">
      <c r="D145" s="5"/>
      <c r="E145" s="5"/>
      <c r="F145" s="5"/>
    </row>
    <row r="146" spans="4:6">
      <c r="D146" s="5"/>
      <c r="E146" s="5"/>
      <c r="F146" s="5"/>
    </row>
    <row r="147" spans="4:6">
      <c r="D147" s="5"/>
      <c r="E147" s="5"/>
      <c r="F147" s="5"/>
    </row>
    <row r="148" spans="4:6">
      <c r="D148" s="5"/>
      <c r="E148" s="5"/>
      <c r="F148" s="5"/>
    </row>
    <row r="149" spans="4:6">
      <c r="D149" s="5"/>
      <c r="E149" s="5"/>
      <c r="F149" s="5"/>
    </row>
    <row r="150" spans="4:6">
      <c r="D150" s="5"/>
      <c r="E150" s="5"/>
      <c r="F150" s="5"/>
    </row>
    <row r="151" spans="4:6">
      <c r="D151" s="5"/>
      <c r="E151" s="5"/>
      <c r="F151" s="5"/>
    </row>
    <row r="152" spans="4:6">
      <c r="D152" s="5"/>
      <c r="E152" s="5"/>
      <c r="F152" s="5"/>
    </row>
    <row r="153" spans="4:6">
      <c r="D153" s="5"/>
      <c r="E153" s="5"/>
      <c r="F153" s="5"/>
    </row>
    <row r="154" spans="4:6">
      <c r="D154" s="5"/>
      <c r="E154" s="5"/>
      <c r="F154" s="5"/>
    </row>
    <row r="155" spans="4:6">
      <c r="D155" s="5"/>
      <c r="E155" s="5"/>
      <c r="F155" s="5"/>
    </row>
    <row r="156" spans="4:6">
      <c r="D156" s="5"/>
      <c r="E156" s="5"/>
      <c r="F156" s="5"/>
    </row>
    <row r="157" spans="4:6">
      <c r="D157" s="5"/>
      <c r="E157" s="5"/>
      <c r="F157" s="5"/>
    </row>
    <row r="158" spans="4:6">
      <c r="D158" s="5"/>
      <c r="E158" s="5"/>
      <c r="F158" s="5"/>
    </row>
    <row r="159" spans="4:6">
      <c r="D159" s="5"/>
      <c r="E159" s="5"/>
      <c r="F159" s="5"/>
    </row>
    <row r="160" spans="4:6">
      <c r="D160" s="5"/>
      <c r="E160" s="5"/>
      <c r="F160" s="5"/>
    </row>
    <row r="161" spans="4:6">
      <c r="D161" s="5"/>
      <c r="E161" s="5"/>
      <c r="F161" s="5"/>
    </row>
    <row r="162" spans="4:6">
      <c r="D162" s="5"/>
      <c r="E162" s="5"/>
      <c r="F162" s="5"/>
    </row>
    <row r="163" spans="4:6">
      <c r="D163" s="5"/>
      <c r="E163" s="5"/>
      <c r="F163" s="5"/>
    </row>
    <row r="164" spans="4:6">
      <c r="D164" s="5"/>
      <c r="E164" s="5"/>
      <c r="F164" s="5"/>
    </row>
    <row r="165" spans="4:6">
      <c r="D165" s="5"/>
      <c r="E165" s="5"/>
      <c r="F165" s="5"/>
    </row>
    <row r="166" spans="4:6">
      <c r="D166" s="5"/>
      <c r="E166" s="5"/>
      <c r="F166" s="5"/>
    </row>
    <row r="167" spans="4:6">
      <c r="D167" s="5"/>
      <c r="E167" s="5"/>
      <c r="F167" s="5"/>
    </row>
    <row r="168" spans="4:6">
      <c r="D168" s="5"/>
      <c r="E168" s="5"/>
      <c r="F168" s="5"/>
    </row>
    <row r="169" spans="4:6">
      <c r="D169" s="5"/>
      <c r="E169" s="5"/>
      <c r="F169" s="5"/>
    </row>
    <row r="170" spans="4:6">
      <c r="D170" s="5"/>
      <c r="E170" s="5"/>
      <c r="F170" s="5"/>
    </row>
    <row r="171" spans="4:6">
      <c r="D171" s="5"/>
      <c r="E171" s="5"/>
      <c r="F171" s="5"/>
    </row>
    <row r="172" spans="4:6">
      <c r="D172" s="5"/>
      <c r="E172" s="5"/>
      <c r="F172" s="5"/>
    </row>
    <row r="173" spans="4:6">
      <c r="D173" s="5"/>
      <c r="E173" s="5"/>
      <c r="F173" s="5"/>
    </row>
    <row r="174" spans="4:6">
      <c r="D174" s="5"/>
      <c r="E174" s="5"/>
      <c r="F174" s="5"/>
    </row>
    <row r="175" spans="4:6">
      <c r="D175" s="5"/>
      <c r="E175" s="5"/>
      <c r="F175" s="5"/>
    </row>
    <row r="176" spans="4:6">
      <c r="D176" s="5"/>
      <c r="E176" s="5"/>
      <c r="F176" s="5"/>
    </row>
    <row r="177" spans="4:6">
      <c r="D177" s="5"/>
      <c r="E177" s="5"/>
      <c r="F177" s="5"/>
    </row>
    <row r="178" spans="4:6">
      <c r="D178" s="5"/>
      <c r="E178" s="5"/>
      <c r="F178" s="5"/>
    </row>
    <row r="179" spans="4:6">
      <c r="D179" s="5"/>
      <c r="E179" s="5"/>
      <c r="F179" s="5"/>
    </row>
    <row r="180" spans="4:6">
      <c r="D180" s="5"/>
      <c r="E180" s="5"/>
      <c r="F180" s="5"/>
    </row>
    <row r="181" spans="4:6">
      <c r="D181" s="5"/>
      <c r="E181" s="5"/>
      <c r="F181" s="5"/>
    </row>
    <row r="182" spans="4:6">
      <c r="D182" s="5"/>
      <c r="E182" s="5"/>
      <c r="F182" s="5"/>
    </row>
    <row r="183" spans="4:6">
      <c r="D183" s="5"/>
      <c r="E183" s="5"/>
      <c r="F183" s="5"/>
    </row>
    <row r="184" spans="4:6">
      <c r="D184" s="5"/>
      <c r="E184" s="5"/>
      <c r="F184" s="5"/>
    </row>
    <row r="185" spans="4:6">
      <c r="D185" s="5"/>
      <c r="E185" s="5"/>
      <c r="F185" s="5"/>
    </row>
    <row r="186" spans="4:6">
      <c r="D186" s="5"/>
      <c r="E186" s="5"/>
      <c r="F186" s="5"/>
    </row>
    <row r="187" spans="4:6">
      <c r="D187" s="5"/>
      <c r="E187" s="5"/>
      <c r="F187" s="5"/>
    </row>
    <row r="188" spans="4:6">
      <c r="D188" s="5"/>
      <c r="E188" s="5"/>
      <c r="F188" s="5"/>
    </row>
    <row r="189" spans="4:6">
      <c r="D189" s="5"/>
      <c r="E189" s="5"/>
      <c r="F189" s="5"/>
    </row>
    <row r="190" spans="4:6">
      <c r="D190" s="5"/>
      <c r="E190" s="5"/>
      <c r="F190" s="5"/>
    </row>
    <row r="191" spans="4:6">
      <c r="D191" s="5"/>
      <c r="E191" s="5"/>
      <c r="F191" s="5"/>
    </row>
    <row r="192" spans="4:6">
      <c r="D192" s="5"/>
      <c r="E192" s="5"/>
      <c r="F192" s="5"/>
    </row>
    <row r="193" spans="4:6">
      <c r="D193" s="5"/>
      <c r="E193" s="5"/>
      <c r="F193" s="5"/>
    </row>
    <row r="194" spans="4:6">
      <c r="D194" s="5"/>
      <c r="E194" s="5"/>
      <c r="F194" s="5"/>
    </row>
    <row r="195" spans="4:6">
      <c r="D195" s="5"/>
      <c r="E195" s="5"/>
      <c r="F195" s="5"/>
    </row>
    <row r="196" spans="4:6">
      <c r="D196" s="5"/>
      <c r="E196" s="5"/>
      <c r="F196" s="5"/>
    </row>
    <row r="197" spans="4:6">
      <c r="D197" s="5"/>
      <c r="E197" s="5"/>
      <c r="F197" s="5"/>
    </row>
    <row r="198" spans="4:6">
      <c r="D198" s="5"/>
      <c r="E198" s="5"/>
      <c r="F198" s="5"/>
    </row>
    <row r="199" spans="4:6">
      <c r="D199" s="5"/>
      <c r="E199" s="5"/>
      <c r="F199" s="5"/>
    </row>
    <row r="200" spans="4:6">
      <c r="D200" s="5"/>
      <c r="E200" s="5"/>
      <c r="F200" s="5"/>
    </row>
    <row r="201" spans="4:6">
      <c r="D201" s="5"/>
      <c r="E201" s="5"/>
      <c r="F201" s="5"/>
    </row>
    <row r="202" spans="4:6">
      <c r="D202" s="5"/>
      <c r="E202" s="5"/>
      <c r="F202" s="5"/>
    </row>
    <row r="203" spans="4:6">
      <c r="D203" s="5"/>
      <c r="E203" s="5"/>
      <c r="F203" s="5"/>
    </row>
    <row r="204" spans="4:6">
      <c r="D204" s="5"/>
      <c r="E204" s="5"/>
      <c r="F204" s="5"/>
    </row>
    <row r="205" spans="4:6">
      <c r="D205" s="5"/>
      <c r="E205" s="5"/>
      <c r="F205" s="5"/>
    </row>
    <row r="206" spans="4:6">
      <c r="D206" s="5"/>
      <c r="E206" s="5"/>
      <c r="F206" s="5"/>
    </row>
    <row r="207" spans="4:6">
      <c r="D207" s="5"/>
      <c r="E207" s="5"/>
      <c r="F207" s="5"/>
    </row>
    <row r="208" spans="4:6">
      <c r="D208" s="5"/>
      <c r="E208" s="5"/>
      <c r="F208" s="5"/>
    </row>
    <row r="209" spans="4:6">
      <c r="D209" s="5"/>
      <c r="E209" s="5"/>
      <c r="F209" s="5"/>
    </row>
    <row r="210" spans="4:6">
      <c r="D210" s="5"/>
      <c r="E210" s="5"/>
      <c r="F210" s="5"/>
    </row>
    <row r="211" spans="4:6">
      <c r="D211" s="5"/>
      <c r="E211" s="5"/>
      <c r="F211" s="5"/>
    </row>
    <row r="212" spans="4:6">
      <c r="D212" s="5"/>
      <c r="E212" s="5"/>
      <c r="F212" s="5"/>
    </row>
    <row r="213" spans="4:6">
      <c r="D213" s="5"/>
      <c r="E213" s="5"/>
      <c r="F213" s="5"/>
    </row>
    <row r="214" spans="4:6">
      <c r="D214" s="5"/>
      <c r="E214" s="5"/>
      <c r="F214" s="5"/>
    </row>
    <row r="215" spans="4:6">
      <c r="D215" s="5"/>
      <c r="E215" s="5"/>
      <c r="F215" s="5"/>
    </row>
    <row r="216" spans="4:6">
      <c r="D216" s="5"/>
      <c r="E216" s="5"/>
      <c r="F216" s="5"/>
    </row>
    <row r="217" spans="4:6">
      <c r="D217" s="5"/>
      <c r="E217" s="5"/>
      <c r="F217" s="5"/>
    </row>
    <row r="218" spans="4:6">
      <c r="D218" s="5"/>
      <c r="E218" s="5"/>
      <c r="F218" s="5"/>
    </row>
    <row r="219" spans="4:6">
      <c r="D219" s="5"/>
      <c r="E219" s="5"/>
      <c r="F219" s="5"/>
    </row>
    <row r="220" spans="4:6">
      <c r="D220" s="5"/>
      <c r="E220" s="5"/>
      <c r="F220" s="5"/>
    </row>
    <row r="221" spans="4:6">
      <c r="D221" s="5"/>
      <c r="E221" s="5"/>
      <c r="F221" s="5"/>
    </row>
    <row r="222" spans="4:6">
      <c r="D222" s="5"/>
      <c r="E222" s="5"/>
      <c r="F222" s="5"/>
    </row>
    <row r="223" spans="4:6">
      <c r="D223" s="5"/>
      <c r="E223" s="5"/>
      <c r="F223" s="5"/>
    </row>
    <row r="224" spans="4:6">
      <c r="D224" s="5"/>
      <c r="E224" s="5"/>
      <c r="F224" s="5"/>
    </row>
    <row r="225" spans="4:6">
      <c r="D225" s="5"/>
      <c r="E225" s="5"/>
      <c r="F225" s="5"/>
    </row>
    <row r="226" spans="4:6">
      <c r="D226" s="5"/>
      <c r="E226" s="5"/>
      <c r="F226" s="5"/>
    </row>
    <row r="227" spans="4:6">
      <c r="D227" s="5"/>
      <c r="E227" s="5"/>
      <c r="F227" s="5"/>
    </row>
    <row r="228" spans="4:6">
      <c r="D228" s="5"/>
      <c r="E228" s="5"/>
      <c r="F228" s="5"/>
    </row>
    <row r="229" spans="4:6">
      <c r="D229" s="5"/>
      <c r="E229" s="5"/>
      <c r="F229" s="5"/>
    </row>
    <row r="230" spans="4:6">
      <c r="D230" s="5"/>
      <c r="E230" s="5"/>
      <c r="F230" s="5"/>
    </row>
    <row r="231" spans="4:6">
      <c r="D231" s="5"/>
      <c r="E231" s="5"/>
      <c r="F231" s="5"/>
    </row>
    <row r="232" spans="4:6">
      <c r="D232" s="5"/>
      <c r="E232" s="5"/>
      <c r="F232" s="5"/>
    </row>
    <row r="233" spans="4:6">
      <c r="D233" s="5"/>
      <c r="E233" s="5"/>
      <c r="F233" s="5"/>
    </row>
    <row r="234" spans="4:6">
      <c r="D234" s="5"/>
      <c r="E234" s="5"/>
      <c r="F234" s="5"/>
    </row>
    <row r="235" spans="4:6">
      <c r="D235" s="5"/>
      <c r="E235" s="5"/>
      <c r="F235" s="5"/>
    </row>
    <row r="236" spans="4:6">
      <c r="D236" s="5"/>
      <c r="E236" s="5"/>
      <c r="F236" s="5"/>
    </row>
    <row r="237" spans="4:6">
      <c r="D237" s="5"/>
      <c r="E237" s="5"/>
      <c r="F237" s="5"/>
    </row>
    <row r="238" spans="4:6">
      <c r="D238" s="5"/>
      <c r="E238" s="5"/>
      <c r="F238" s="5"/>
    </row>
    <row r="239" spans="4:6">
      <c r="D239" s="5"/>
      <c r="E239" s="5"/>
      <c r="F239" s="5"/>
    </row>
    <row r="240" spans="4:6">
      <c r="D240" s="5"/>
      <c r="E240" s="5"/>
      <c r="F240" s="5"/>
    </row>
    <row r="241" spans="4:6">
      <c r="D241" s="5"/>
      <c r="E241" s="5"/>
      <c r="F241" s="5"/>
    </row>
    <row r="242" spans="4:6">
      <c r="D242" s="5"/>
      <c r="E242" s="5"/>
      <c r="F242" s="5"/>
    </row>
    <row r="243" spans="4:6">
      <c r="D243" s="5"/>
      <c r="E243" s="5"/>
      <c r="F243" s="5"/>
    </row>
    <row r="244" spans="4:6">
      <c r="D244" s="5"/>
      <c r="E244" s="5"/>
      <c r="F244" s="5"/>
    </row>
    <row r="245" spans="4:6">
      <c r="D245" s="5"/>
      <c r="E245" s="5"/>
      <c r="F245" s="5"/>
    </row>
    <row r="246" spans="4:6">
      <c r="D246" s="5"/>
      <c r="E246" s="5"/>
      <c r="F246" s="5"/>
    </row>
    <row r="247" spans="4:6">
      <c r="D247" s="5"/>
      <c r="E247" s="5"/>
      <c r="F247" s="5"/>
    </row>
    <row r="248" spans="4:6">
      <c r="D248" s="5"/>
      <c r="E248" s="5"/>
      <c r="F248" s="5"/>
    </row>
    <row r="249" spans="4:6">
      <c r="D249" s="5"/>
      <c r="E249" s="5"/>
      <c r="F249" s="5"/>
    </row>
    <row r="250" spans="4:6">
      <c r="D250" s="5"/>
      <c r="E250" s="5"/>
      <c r="F250" s="5"/>
    </row>
    <row r="251" spans="4:6">
      <c r="D251" s="5"/>
      <c r="E251" s="5"/>
      <c r="F251" s="5"/>
    </row>
    <row r="252" spans="4:6">
      <c r="D252" s="5"/>
      <c r="E252" s="5"/>
      <c r="F252" s="5"/>
    </row>
    <row r="253" spans="4:6">
      <c r="D253" s="5"/>
      <c r="E253" s="5"/>
      <c r="F253" s="5"/>
    </row>
    <row r="254" spans="4:6">
      <c r="D254" s="5"/>
      <c r="E254" s="5"/>
      <c r="F254" s="5"/>
    </row>
    <row r="255" spans="4:6">
      <c r="D255" s="5"/>
      <c r="E255" s="5"/>
      <c r="F255" s="5"/>
    </row>
    <row r="256" spans="4:6">
      <c r="D256" s="5"/>
      <c r="E256" s="5"/>
      <c r="F256" s="5"/>
    </row>
    <row r="257" spans="4:6">
      <c r="D257" s="5"/>
      <c r="E257" s="5"/>
      <c r="F257" s="5"/>
    </row>
    <row r="258" spans="4:6">
      <c r="D258" s="5"/>
      <c r="E258" s="5"/>
      <c r="F258" s="5"/>
    </row>
    <row r="259" spans="4:6">
      <c r="D259" s="5"/>
      <c r="E259" s="5"/>
      <c r="F259" s="5"/>
    </row>
    <row r="260" spans="4:6">
      <c r="D260" s="5"/>
      <c r="E260" s="5"/>
      <c r="F260" s="5"/>
    </row>
    <row r="261" spans="4:6">
      <c r="D261" s="5"/>
      <c r="E261" s="5"/>
      <c r="F261" s="5"/>
    </row>
    <row r="262" spans="4:6">
      <c r="D262" s="5"/>
      <c r="E262" s="5"/>
      <c r="F262" s="5"/>
    </row>
    <row r="263" spans="4:6">
      <c r="D263" s="5"/>
      <c r="E263" s="5"/>
      <c r="F263" s="5"/>
    </row>
    <row r="264" spans="4:6">
      <c r="D264" s="5"/>
      <c r="E264" s="5"/>
      <c r="F264" s="5"/>
    </row>
    <row r="265" spans="4:6">
      <c r="D265" s="5"/>
      <c r="E265" s="5"/>
      <c r="F265" s="5"/>
    </row>
    <row r="266" spans="4:6">
      <c r="D266" s="5"/>
      <c r="E266" s="5"/>
      <c r="F266" s="5"/>
    </row>
    <row r="267" spans="4:6">
      <c r="D267" s="5"/>
      <c r="E267" s="5"/>
      <c r="F267" s="5"/>
    </row>
    <row r="268" spans="4:6">
      <c r="D268" s="5"/>
      <c r="E268" s="5"/>
      <c r="F268" s="5"/>
    </row>
    <row r="269" spans="4:6">
      <c r="D269" s="5"/>
      <c r="E269" s="5"/>
      <c r="F269" s="5"/>
    </row>
    <row r="270" spans="4:6">
      <c r="D270" s="5"/>
      <c r="E270" s="5"/>
      <c r="F270" s="5"/>
    </row>
    <row r="271" spans="4:6">
      <c r="D271" s="5"/>
      <c r="E271" s="5"/>
      <c r="F271" s="5"/>
    </row>
    <row r="272" spans="4:6">
      <c r="D272" s="5"/>
      <c r="E272" s="5"/>
      <c r="F272" s="5"/>
    </row>
    <row r="273" spans="4:6">
      <c r="D273" s="5"/>
      <c r="E273" s="5"/>
      <c r="F273" s="5"/>
    </row>
    <row r="274" spans="4:6">
      <c r="D274" s="5"/>
      <c r="E274" s="5"/>
      <c r="F274" s="5"/>
    </row>
    <row r="275" spans="4:6">
      <c r="D275" s="5"/>
      <c r="E275" s="5"/>
      <c r="F275" s="5"/>
    </row>
    <row r="276" spans="4:6">
      <c r="D276" s="5"/>
      <c r="E276" s="5"/>
      <c r="F276" s="5"/>
    </row>
    <row r="277" spans="4:6">
      <c r="D277" s="5"/>
      <c r="E277" s="5"/>
      <c r="F277" s="5"/>
    </row>
    <row r="278" spans="4:6">
      <c r="D278" s="5"/>
      <c r="E278" s="5"/>
      <c r="F278" s="5"/>
    </row>
    <row r="279" spans="4:6">
      <c r="D279" s="5"/>
      <c r="E279" s="5"/>
      <c r="F279" s="5"/>
    </row>
    <row r="280" spans="4:6">
      <c r="D280" s="5"/>
      <c r="E280" s="5"/>
      <c r="F280" s="5"/>
    </row>
    <row r="281" spans="4:6">
      <c r="D281" s="5"/>
      <c r="E281" s="5"/>
      <c r="F281" s="5"/>
    </row>
    <row r="282" spans="4:6">
      <c r="D282" s="5"/>
      <c r="E282" s="5"/>
      <c r="F282" s="5"/>
    </row>
    <row r="283" spans="4:6">
      <c r="D283" s="5"/>
      <c r="E283" s="5"/>
      <c r="F283" s="5"/>
    </row>
    <row r="284" spans="4:6">
      <c r="D284" s="5"/>
      <c r="E284" s="5"/>
      <c r="F284" s="5"/>
    </row>
    <row r="285" spans="4:6">
      <c r="D285" s="5"/>
      <c r="E285" s="5"/>
      <c r="F285" s="5"/>
    </row>
    <row r="286" spans="4:6">
      <c r="D286" s="5"/>
      <c r="E286" s="5"/>
      <c r="F286" s="5"/>
    </row>
    <row r="287" spans="4:6">
      <c r="D287" s="5"/>
      <c r="E287" s="5"/>
      <c r="F287" s="5"/>
    </row>
    <row r="288" spans="4:6">
      <c r="D288" s="5"/>
      <c r="E288" s="5"/>
      <c r="F288" s="5"/>
    </row>
    <row r="289" spans="4:6">
      <c r="D289" s="5"/>
      <c r="E289" s="5"/>
      <c r="F289" s="5"/>
    </row>
    <row r="290" spans="4:6">
      <c r="D290" s="5"/>
      <c r="E290" s="5"/>
      <c r="F290" s="5"/>
    </row>
    <row r="291" spans="4:6">
      <c r="D291" s="5"/>
      <c r="E291" s="5"/>
      <c r="F291" s="5"/>
    </row>
    <row r="292" spans="4:6">
      <c r="D292" s="5"/>
      <c r="E292" s="5"/>
      <c r="F292" s="5"/>
    </row>
    <row r="293" spans="4:6">
      <c r="D293" s="5"/>
      <c r="E293" s="5"/>
      <c r="F293" s="5"/>
    </row>
    <row r="294" spans="4:6">
      <c r="D294" s="5"/>
      <c r="E294" s="5"/>
      <c r="F294" s="5"/>
    </row>
    <row r="295" spans="4:6">
      <c r="D295" s="5"/>
      <c r="E295" s="5"/>
      <c r="F295" s="5"/>
    </row>
    <row r="296" spans="4:6">
      <c r="D296" s="5"/>
      <c r="E296" s="5"/>
      <c r="F296" s="5"/>
    </row>
    <row r="297" spans="4:6">
      <c r="D297" s="5"/>
      <c r="E297" s="5"/>
      <c r="F297" s="5"/>
    </row>
    <row r="298" spans="4:6">
      <c r="D298" s="5"/>
      <c r="E298" s="5"/>
      <c r="F298" s="5"/>
    </row>
    <row r="299" spans="4:6">
      <c r="D299" s="5"/>
      <c r="E299" s="5"/>
      <c r="F299" s="5"/>
    </row>
    <row r="300" spans="4:6">
      <c r="D300" s="5"/>
      <c r="E300" s="5"/>
      <c r="F300" s="5"/>
    </row>
    <row r="301" spans="4:6">
      <c r="D301" s="5"/>
      <c r="E301" s="5"/>
      <c r="F301" s="5"/>
    </row>
    <row r="302" spans="4:6">
      <c r="D302" s="5"/>
      <c r="E302" s="5"/>
      <c r="F302" s="5"/>
    </row>
    <row r="303" spans="4:6">
      <c r="D303" s="5"/>
      <c r="E303" s="5"/>
      <c r="F303" s="5"/>
    </row>
    <row r="304" spans="4:6">
      <c r="D304" s="5"/>
      <c r="E304" s="5"/>
      <c r="F304" s="5"/>
    </row>
    <row r="305" spans="4:6">
      <c r="D305" s="5"/>
      <c r="E305" s="5"/>
      <c r="F305" s="5"/>
    </row>
    <row r="306" spans="4:6">
      <c r="D306" s="5"/>
      <c r="E306" s="5"/>
      <c r="F306" s="5"/>
    </row>
    <row r="307" spans="4:6">
      <c r="D307" s="5"/>
      <c r="E307" s="5"/>
      <c r="F307" s="5"/>
    </row>
    <row r="308" spans="4:6">
      <c r="D308" s="5"/>
      <c r="E308" s="5"/>
      <c r="F308" s="5"/>
    </row>
    <row r="309" spans="4:6">
      <c r="D309" s="5"/>
      <c r="E309" s="5"/>
      <c r="F309" s="5"/>
    </row>
    <row r="310" spans="4:6">
      <c r="D310" s="5"/>
      <c r="E310" s="5"/>
      <c r="F310" s="5"/>
    </row>
    <row r="311" spans="4:6">
      <c r="D311" s="5"/>
      <c r="E311" s="5"/>
      <c r="F311" s="5"/>
    </row>
    <row r="312" spans="4:6">
      <c r="D312" s="5"/>
      <c r="E312" s="5"/>
      <c r="F312" s="5"/>
    </row>
    <row r="313" spans="4:6">
      <c r="D313" s="5"/>
      <c r="E313" s="5"/>
      <c r="F313" s="5"/>
    </row>
    <row r="314" spans="4:6">
      <c r="D314" s="5"/>
      <c r="E314" s="5"/>
      <c r="F314" s="5"/>
    </row>
    <row r="315" spans="4:6">
      <c r="D315" s="5"/>
      <c r="E315" s="5"/>
      <c r="F315" s="5"/>
    </row>
    <row r="316" spans="4:6">
      <c r="D316" s="5"/>
      <c r="E316" s="5"/>
      <c r="F316" s="5"/>
    </row>
    <row r="317" spans="4:6">
      <c r="D317" s="5"/>
      <c r="E317" s="5"/>
      <c r="F317" s="5"/>
    </row>
    <row r="318" spans="4:6">
      <c r="D318" s="5"/>
      <c r="E318" s="5"/>
      <c r="F318" s="5"/>
    </row>
    <row r="319" spans="4:6">
      <c r="D319" s="5"/>
      <c r="E319" s="5"/>
      <c r="F319" s="5"/>
    </row>
    <row r="320" spans="4:6">
      <c r="D320" s="5"/>
      <c r="E320" s="5"/>
      <c r="F320" s="5"/>
    </row>
    <row r="321" spans="4:6">
      <c r="D321" s="5"/>
      <c r="E321" s="5"/>
      <c r="F321" s="5"/>
    </row>
    <row r="322" spans="4:6">
      <c r="D322" s="5"/>
      <c r="E322" s="5"/>
      <c r="F322" s="5"/>
    </row>
    <row r="323" spans="4:6">
      <c r="D323" s="5"/>
      <c r="E323" s="5"/>
      <c r="F323" s="5"/>
    </row>
    <row r="324" spans="4:6">
      <c r="D324" s="5"/>
      <c r="E324" s="5"/>
      <c r="F324" s="5"/>
    </row>
    <row r="325" spans="4:6">
      <c r="D325" s="5"/>
      <c r="E325" s="5"/>
      <c r="F325" s="5"/>
    </row>
    <row r="326" spans="4:6">
      <c r="D326" s="5"/>
      <c r="E326" s="5"/>
      <c r="F326" s="5"/>
    </row>
    <row r="327" spans="4:6">
      <c r="D327" s="5"/>
      <c r="E327" s="5"/>
      <c r="F327" s="5"/>
    </row>
    <row r="328" spans="4:6">
      <c r="D328" s="5"/>
      <c r="E328" s="5"/>
      <c r="F328" s="5"/>
    </row>
    <row r="329" spans="4:6">
      <c r="D329" s="5"/>
      <c r="E329" s="5"/>
      <c r="F329" s="5"/>
    </row>
    <row r="330" spans="4:6">
      <c r="D330" s="5"/>
      <c r="E330" s="5"/>
      <c r="F330" s="5"/>
    </row>
    <row r="331" spans="4:6">
      <c r="D331" s="5"/>
      <c r="E331" s="5"/>
      <c r="F331" s="5"/>
    </row>
    <row r="332" spans="4:6">
      <c r="D332" s="5"/>
      <c r="E332" s="5"/>
      <c r="F332" s="5"/>
    </row>
    <row r="333" spans="4:6">
      <c r="D333" s="5"/>
      <c r="E333" s="5"/>
      <c r="F333" s="5"/>
    </row>
    <row r="334" spans="4:6">
      <c r="D334" s="5"/>
      <c r="E334" s="5"/>
      <c r="F334" s="5"/>
    </row>
    <row r="335" spans="4:6">
      <c r="D335" s="5"/>
      <c r="E335" s="5"/>
      <c r="F335" s="5"/>
    </row>
    <row r="336" spans="4:6">
      <c r="D336" s="5"/>
      <c r="E336" s="5"/>
      <c r="F336" s="5"/>
    </row>
    <row r="337" spans="4:6">
      <c r="D337" s="5"/>
      <c r="E337" s="5"/>
      <c r="F337" s="5"/>
    </row>
    <row r="338" spans="4:6">
      <c r="D338" s="5"/>
      <c r="E338" s="5"/>
      <c r="F338" s="5"/>
    </row>
    <row r="339" spans="4:6">
      <c r="D339" s="5"/>
      <c r="E339" s="5"/>
      <c r="F339" s="5"/>
    </row>
    <row r="340" spans="4:6">
      <c r="D340" s="5"/>
      <c r="E340" s="5"/>
      <c r="F340" s="5"/>
    </row>
    <row r="341" spans="4:6">
      <c r="D341" s="5"/>
      <c r="E341" s="5"/>
      <c r="F341" s="5"/>
    </row>
    <row r="342" spans="4:6">
      <c r="D342" s="5"/>
      <c r="E342" s="5"/>
      <c r="F342" s="5"/>
    </row>
    <row r="343" spans="4:6">
      <c r="D343" s="5"/>
      <c r="E343" s="5"/>
      <c r="F343" s="5"/>
    </row>
    <row r="344" spans="4:6">
      <c r="D344" s="5"/>
      <c r="E344" s="5"/>
      <c r="F344" s="5"/>
    </row>
    <row r="345" spans="4:6">
      <c r="D345" s="5"/>
      <c r="E345" s="5"/>
      <c r="F345" s="5"/>
    </row>
    <row r="346" spans="4:6">
      <c r="D346" s="5"/>
      <c r="E346" s="5"/>
      <c r="F346" s="5"/>
    </row>
    <row r="347" spans="4:6">
      <c r="D347" s="5"/>
      <c r="E347" s="5"/>
      <c r="F347" s="5"/>
    </row>
    <row r="348" spans="4:6">
      <c r="D348" s="5"/>
      <c r="E348" s="5"/>
      <c r="F348" s="5"/>
    </row>
    <row r="349" spans="4:6">
      <c r="D349" s="5"/>
      <c r="E349" s="5"/>
      <c r="F349" s="5"/>
    </row>
    <row r="350" spans="4:6">
      <c r="D350" s="5"/>
      <c r="E350" s="5"/>
      <c r="F350" s="5"/>
    </row>
    <row r="351" spans="4:6">
      <c r="D351" s="5"/>
      <c r="E351" s="5"/>
      <c r="F351" s="5"/>
    </row>
    <row r="352" spans="4:6">
      <c r="D352" s="5"/>
      <c r="E352" s="5"/>
      <c r="F352" s="5"/>
    </row>
    <row r="353" spans="4:6">
      <c r="D353" s="5"/>
      <c r="E353" s="5"/>
      <c r="F353" s="5"/>
    </row>
    <row r="354" spans="4:6">
      <c r="D354" s="5"/>
      <c r="E354" s="5"/>
      <c r="F354" s="5"/>
    </row>
    <row r="355" spans="4:6">
      <c r="D355" s="5"/>
      <c r="E355" s="5"/>
      <c r="F355" s="5"/>
    </row>
    <row r="356" spans="4:6">
      <c r="D356" s="5"/>
      <c r="E356" s="5"/>
      <c r="F356" s="5"/>
    </row>
    <row r="357" spans="4:6">
      <c r="D357" s="5"/>
      <c r="E357" s="5"/>
      <c r="F357" s="5"/>
    </row>
    <row r="358" spans="4:6">
      <c r="D358" s="5"/>
      <c r="E358" s="5"/>
      <c r="F358" s="5"/>
    </row>
    <row r="359" spans="4:6">
      <c r="D359" s="5"/>
      <c r="E359" s="5"/>
      <c r="F359" s="5"/>
    </row>
    <row r="360" spans="4:6">
      <c r="D360" s="5"/>
      <c r="E360" s="5"/>
      <c r="F360" s="5"/>
    </row>
    <row r="361" spans="4:6">
      <c r="D361" s="5"/>
      <c r="E361" s="5"/>
      <c r="F361" s="5"/>
    </row>
    <row r="362" spans="4:6">
      <c r="D362" s="5"/>
      <c r="E362" s="5"/>
      <c r="F362" s="5"/>
    </row>
    <row r="363" spans="4:6">
      <c r="D363" s="5"/>
      <c r="E363" s="5"/>
      <c r="F363" s="5"/>
    </row>
    <row r="364" spans="4:6">
      <c r="D364" s="5"/>
      <c r="E364" s="5"/>
      <c r="F364" s="5"/>
    </row>
    <row r="365" spans="4:6">
      <c r="D365" s="5"/>
      <c r="E365" s="5"/>
      <c r="F365" s="5"/>
    </row>
    <row r="366" spans="4:6">
      <c r="D366" s="5"/>
      <c r="E366" s="5"/>
      <c r="F366" s="5"/>
    </row>
    <row r="367" spans="4:6">
      <c r="D367" s="5"/>
      <c r="E367" s="5"/>
      <c r="F367" s="5"/>
    </row>
    <row r="368" spans="4:6">
      <c r="D368" s="5"/>
      <c r="E368" s="5"/>
      <c r="F368" s="5"/>
    </row>
    <row r="369" spans="4:6">
      <c r="D369" s="5"/>
      <c r="E369" s="5"/>
      <c r="F369" s="5"/>
    </row>
    <row r="370" spans="4:6">
      <c r="D370" s="5"/>
      <c r="E370" s="5"/>
      <c r="F370" s="5"/>
    </row>
    <row r="371" spans="4:6">
      <c r="D371" s="5"/>
      <c r="E371" s="5"/>
      <c r="F371" s="5"/>
    </row>
    <row r="372" spans="4:6">
      <c r="D372" s="5"/>
      <c r="E372" s="5"/>
      <c r="F372" s="5"/>
    </row>
    <row r="373" spans="4:6">
      <c r="D373" s="5"/>
      <c r="E373" s="5"/>
      <c r="F373" s="5"/>
    </row>
    <row r="374" spans="4:6">
      <c r="D374" s="5"/>
      <c r="E374" s="5"/>
      <c r="F374" s="5"/>
    </row>
    <row r="375" spans="4:6">
      <c r="D375" s="5"/>
      <c r="E375" s="5"/>
      <c r="F375" s="5"/>
    </row>
    <row r="376" spans="4:6">
      <c r="D376" s="5"/>
      <c r="E376" s="5"/>
      <c r="F376" s="5"/>
    </row>
    <row r="377" spans="4:6">
      <c r="D377" s="5"/>
      <c r="E377" s="5"/>
      <c r="F377" s="5"/>
    </row>
    <row r="378" spans="4:6">
      <c r="D378" s="5"/>
      <c r="E378" s="5"/>
      <c r="F378" s="5"/>
    </row>
    <row r="379" spans="4:6">
      <c r="D379" s="5"/>
      <c r="E379" s="5"/>
      <c r="F379" s="5"/>
    </row>
    <row r="380" spans="4:6">
      <c r="D380" s="5"/>
      <c r="E380" s="5"/>
      <c r="F380" s="5"/>
    </row>
    <row r="381" spans="4:6">
      <c r="D381" s="5"/>
      <c r="E381" s="5"/>
      <c r="F381" s="5"/>
    </row>
    <row r="382" spans="4:6">
      <c r="D382" s="5"/>
      <c r="E382" s="5"/>
      <c r="F382" s="5"/>
    </row>
    <row r="383" spans="4:6">
      <c r="D383" s="5"/>
      <c r="E383" s="5"/>
      <c r="F383" s="5"/>
    </row>
    <row r="384" spans="4:6">
      <c r="D384" s="5"/>
      <c r="E384" s="5"/>
      <c r="F384" s="5"/>
    </row>
    <row r="385" spans="4:6">
      <c r="D385" s="5"/>
      <c r="E385" s="5"/>
      <c r="F385" s="5"/>
    </row>
    <row r="386" spans="4:6">
      <c r="D386" s="5"/>
      <c r="E386" s="5"/>
      <c r="F386" s="5"/>
    </row>
    <row r="387" spans="4:6">
      <c r="D387" s="5"/>
      <c r="E387" s="5"/>
      <c r="F387" s="5"/>
    </row>
    <row r="388" spans="4:6">
      <c r="D388" s="5"/>
      <c r="E388" s="5"/>
      <c r="F388" s="5"/>
    </row>
    <row r="389" spans="4:6">
      <c r="D389" s="5"/>
      <c r="E389" s="5"/>
      <c r="F389" s="5"/>
    </row>
    <row r="390" spans="4:6">
      <c r="D390" s="5"/>
      <c r="E390" s="5"/>
      <c r="F390" s="5"/>
    </row>
  </sheetData>
  <mergeCells count="4">
    <mergeCell ref="A4:H4"/>
    <mergeCell ref="A5:H5"/>
    <mergeCell ref="A6:H6"/>
    <mergeCell ref="A7:H7"/>
  </mergeCells>
  <phoneticPr fontId="5" type="noConversion"/>
  <pageMargins left="0.75" right="0.75" top="1" bottom="1" header="0.5" footer="0.5"/>
  <pageSetup scale="67"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indexed="17"/>
    <pageSetUpPr fitToPage="1"/>
  </sheetPr>
  <dimension ref="A1:K440"/>
  <sheetViews>
    <sheetView topLeftCell="A4" zoomScaleNormal="100" workbookViewId="0">
      <selection activeCell="A4" sqref="A4:G4"/>
    </sheetView>
  </sheetViews>
  <sheetFormatPr defaultRowHeight="12.75"/>
  <cols>
    <col min="1" max="1" width="4.5703125" style="82" bestFit="1" customWidth="1"/>
    <col min="2" max="2" width="49.42578125" style="82" bestFit="1" customWidth="1"/>
    <col min="3" max="3" width="7.7109375" style="81" customWidth="1"/>
    <col min="4" max="5" width="17.5703125" style="82" customWidth="1"/>
    <col min="6" max="6" width="15.140625" style="82" customWidth="1"/>
    <col min="7" max="7" width="20.5703125" style="82" customWidth="1"/>
    <col min="8" max="8" width="9.28515625" style="82" bestFit="1" customWidth="1"/>
    <col min="9" max="9" width="10.42578125" style="82" customWidth="1"/>
    <col min="10" max="10" width="5.140625" style="82" bestFit="1" customWidth="1"/>
    <col min="11" max="11" width="9.42578125" style="82" bestFit="1" customWidth="1"/>
    <col min="12" max="16384" width="9.140625" style="82"/>
  </cols>
  <sheetData>
    <row r="1" spans="1:8">
      <c r="G1" s="82" t="str">
        <f>'C'!L1</f>
        <v>Docket No. RP16-299-000</v>
      </c>
    </row>
    <row r="2" spans="1:8">
      <c r="G2" s="82" t="s">
        <v>590</v>
      </c>
    </row>
    <row r="3" spans="1:8">
      <c r="G3" t="s">
        <v>67</v>
      </c>
    </row>
    <row r="4" spans="1:8">
      <c r="A4" s="930" t="str">
        <f>'C'!A4:M4</f>
        <v>Tuscarora Gas Transmission Company</v>
      </c>
      <c r="B4" s="930"/>
      <c r="C4" s="930"/>
      <c r="D4" s="930"/>
      <c r="E4" s="930"/>
      <c r="F4" s="930"/>
      <c r="G4" s="930"/>
    </row>
    <row r="5" spans="1:8">
      <c r="A5" s="930" t="s">
        <v>255</v>
      </c>
      <c r="B5" s="930"/>
      <c r="C5" s="930"/>
      <c r="D5" s="930"/>
      <c r="E5" s="930"/>
      <c r="F5" s="930"/>
      <c r="G5" s="930"/>
    </row>
    <row r="6" spans="1:8">
      <c r="A6" s="931" t="str">
        <f>'Title Input and Macros'!B9</f>
        <v>For the Twelve Months Ended December 31, 2015, As Adjusted</v>
      </c>
      <c r="B6" s="931"/>
      <c r="C6" s="931"/>
      <c r="D6" s="931"/>
      <c r="E6" s="931"/>
      <c r="F6" s="931"/>
      <c r="G6" s="931"/>
    </row>
    <row r="7" spans="1:8">
      <c r="E7" s="355"/>
      <c r="F7" s="355"/>
      <c r="G7" s="355"/>
    </row>
    <row r="9" spans="1:8">
      <c r="A9" s="82" t="s">
        <v>352</v>
      </c>
      <c r="C9" s="87" t="s">
        <v>393</v>
      </c>
      <c r="D9" s="86" t="s">
        <v>400</v>
      </c>
      <c r="E9" s="86"/>
      <c r="F9" s="86"/>
      <c r="G9" s="102" t="s">
        <v>578</v>
      </c>
    </row>
    <row r="10" spans="1:8">
      <c r="A10" s="88" t="s">
        <v>353</v>
      </c>
      <c r="B10" s="88" t="s">
        <v>354</v>
      </c>
      <c r="C10" s="90" t="s">
        <v>394</v>
      </c>
      <c r="D10" s="91">
        <f>'Title Input and Macros'!B12</f>
        <v>42369</v>
      </c>
      <c r="E10" s="166" t="s">
        <v>397</v>
      </c>
      <c r="F10" s="89" t="s">
        <v>398</v>
      </c>
      <c r="G10" s="91">
        <v>42551</v>
      </c>
      <c r="H10" s="88"/>
    </row>
    <row r="11" spans="1:8">
      <c r="B11" s="86" t="s">
        <v>361</v>
      </c>
      <c r="C11" s="87" t="s">
        <v>362</v>
      </c>
      <c r="D11" s="86" t="s">
        <v>366</v>
      </c>
      <c r="E11" s="86" t="s">
        <v>363</v>
      </c>
      <c r="F11" s="86" t="s">
        <v>364</v>
      </c>
      <c r="G11" s="86" t="s">
        <v>379</v>
      </c>
    </row>
    <row r="12" spans="1:8">
      <c r="B12" s="103" t="s">
        <v>75</v>
      </c>
      <c r="C12" s="87"/>
      <c r="D12" s="86" t="s">
        <v>365</v>
      </c>
      <c r="E12" s="86"/>
      <c r="F12" s="86" t="s">
        <v>365</v>
      </c>
      <c r="G12" s="86" t="s">
        <v>365</v>
      </c>
    </row>
    <row r="13" spans="1:8">
      <c r="A13" s="104" t="s">
        <v>579</v>
      </c>
      <c r="B13" s="88" t="s">
        <v>303</v>
      </c>
      <c r="E13" s="171"/>
    </row>
    <row r="14" spans="1:8">
      <c r="A14">
        <v>1</v>
      </c>
      <c r="B14" s="104" t="s">
        <v>306</v>
      </c>
      <c r="C14" s="105">
        <v>301</v>
      </c>
      <c r="D14" s="280">
        <v>125956</v>
      </c>
      <c r="E14" s="280"/>
      <c r="F14" s="280"/>
      <c r="G14" s="108">
        <f>D14+E14+F14</f>
        <v>125956</v>
      </c>
      <c r="H14" s="494"/>
    </row>
    <row r="15" spans="1:8">
      <c r="A15">
        <f>A14+1</f>
        <v>2</v>
      </c>
      <c r="B15" s="82" t="s">
        <v>327</v>
      </c>
      <c r="C15" s="81">
        <v>302</v>
      </c>
      <c r="D15" s="280">
        <v>84128</v>
      </c>
      <c r="E15" s="280"/>
      <c r="F15" s="280"/>
      <c r="G15" s="108">
        <f>D15+E15+F15</f>
        <v>84128</v>
      </c>
      <c r="H15" s="494"/>
    </row>
    <row r="16" spans="1:8">
      <c r="A16">
        <f>A15+1</f>
        <v>3</v>
      </c>
      <c r="B16" s="178" t="s">
        <v>702</v>
      </c>
      <c r="C16" s="81">
        <v>303</v>
      </c>
      <c r="D16" s="280">
        <v>462464.25</v>
      </c>
      <c r="E16" s="280"/>
      <c r="F16" s="280"/>
      <c r="G16" s="108">
        <f>D16+E16+F16</f>
        <v>462464.25</v>
      </c>
      <c r="H16" s="494"/>
    </row>
    <row r="17" spans="1:11" ht="13.5" thickBot="1">
      <c r="A17">
        <f>A16+1</f>
        <v>4</v>
      </c>
      <c r="B17" s="104" t="s">
        <v>580</v>
      </c>
      <c r="D17" s="109">
        <f>SUM(D14:D16)</f>
        <v>672548.25</v>
      </c>
      <c r="E17" s="356">
        <f>SUM(E14:E16)</f>
        <v>0</v>
      </c>
      <c r="F17" s="356">
        <f>SUM(F14:F16)</f>
        <v>0</v>
      </c>
      <c r="G17" s="109">
        <f>SUM(G14:G16)</f>
        <v>672548.25</v>
      </c>
      <c r="H17" s="111"/>
    </row>
    <row r="18" spans="1:11" ht="13.5" thickTop="1">
      <c r="D18" s="108"/>
      <c r="E18" s="357"/>
      <c r="F18" s="357"/>
      <c r="G18" s="108"/>
      <c r="H18" s="111"/>
    </row>
    <row r="19" spans="1:11">
      <c r="A19" s="104" t="s">
        <v>579</v>
      </c>
      <c r="B19" s="88" t="s">
        <v>358</v>
      </c>
      <c r="D19" s="108"/>
      <c r="E19" s="357"/>
      <c r="F19" s="357"/>
      <c r="G19" s="108"/>
      <c r="H19" s="111"/>
    </row>
    <row r="20" spans="1:11">
      <c r="A20" s="82">
        <f>A17+1</f>
        <v>5</v>
      </c>
      <c r="B20" s="104" t="s">
        <v>703</v>
      </c>
      <c r="C20" s="81">
        <v>365</v>
      </c>
      <c r="D20" s="280">
        <v>456030.96</v>
      </c>
      <c r="E20" s="280"/>
      <c r="F20" s="280"/>
      <c r="G20" s="108">
        <f t="shared" ref="G20:G30" si="0">D20+E20+F20</f>
        <v>456030.96</v>
      </c>
      <c r="H20" s="495"/>
    </row>
    <row r="21" spans="1:11">
      <c r="A21" s="82">
        <f>A20+1</f>
        <v>6</v>
      </c>
      <c r="B21" s="82" t="s">
        <v>704</v>
      </c>
      <c r="C21" s="81">
        <v>365.1</v>
      </c>
      <c r="D21" s="280">
        <v>437631.61</v>
      </c>
      <c r="E21" s="280"/>
      <c r="F21" s="280"/>
      <c r="G21" s="108">
        <f t="shared" si="0"/>
        <v>437631.61</v>
      </c>
      <c r="H21" s="385"/>
    </row>
    <row r="22" spans="1:11">
      <c r="A22" s="82">
        <f>A21+1</f>
        <v>7</v>
      </c>
      <c r="B22" s="82" t="s">
        <v>328</v>
      </c>
      <c r="C22" s="81">
        <v>365.2</v>
      </c>
      <c r="D22" s="280">
        <v>3872858.17</v>
      </c>
      <c r="E22" s="280"/>
      <c r="F22" s="280"/>
      <c r="G22" s="108">
        <f t="shared" si="0"/>
        <v>3872858.17</v>
      </c>
      <c r="H22" s="385"/>
    </row>
    <row r="23" spans="1:11">
      <c r="A23" s="82">
        <f>A22+1</f>
        <v>8</v>
      </c>
      <c r="B23" s="82" t="s">
        <v>322</v>
      </c>
      <c r="C23" s="81">
        <v>366</v>
      </c>
      <c r="D23" s="280">
        <v>8941535.0500000007</v>
      </c>
      <c r="E23" s="280"/>
      <c r="F23" s="280"/>
      <c r="G23" s="108">
        <f t="shared" si="0"/>
        <v>8941535.0500000007</v>
      </c>
      <c r="H23" s="385"/>
    </row>
    <row r="24" spans="1:11">
      <c r="A24" s="82">
        <f t="shared" ref="A24:A31" si="1">A23+1</f>
        <v>9</v>
      </c>
      <c r="B24" s="82" t="s">
        <v>329</v>
      </c>
      <c r="C24" s="81">
        <v>367</v>
      </c>
      <c r="D24" s="280">
        <v>148168809.87</v>
      </c>
      <c r="E24" s="280">
        <v>69393</v>
      </c>
      <c r="F24" s="358">
        <f>-E24*0.2</f>
        <v>-13878.6</v>
      </c>
      <c r="G24" s="108">
        <f t="shared" si="0"/>
        <v>148224324.27000001</v>
      </c>
      <c r="H24" s="385"/>
      <c r="I24" s="359"/>
      <c r="J24" s="360"/>
      <c r="K24" s="359"/>
    </row>
    <row r="25" spans="1:11">
      <c r="A25" s="82">
        <f t="shared" si="1"/>
        <v>10</v>
      </c>
      <c r="B25" s="82" t="s">
        <v>705</v>
      </c>
      <c r="C25" s="81">
        <v>367.1</v>
      </c>
      <c r="D25" s="280">
        <v>337493.71</v>
      </c>
      <c r="E25" s="280"/>
      <c r="F25" s="358"/>
      <c r="G25" s="108">
        <f t="shared" si="0"/>
        <v>337493.71</v>
      </c>
      <c r="H25" s="496"/>
      <c r="I25" s="359"/>
    </row>
    <row r="26" spans="1:11">
      <c r="A26" s="82">
        <f t="shared" si="1"/>
        <v>11</v>
      </c>
      <c r="B26" s="104" t="s">
        <v>753</v>
      </c>
      <c r="C26" s="81">
        <v>368</v>
      </c>
      <c r="D26" s="280">
        <v>15887832.43</v>
      </c>
      <c r="E26" s="280">
        <v>16312</v>
      </c>
      <c r="F26" s="358">
        <f>-E26*0.2</f>
        <v>-3262.4</v>
      </c>
      <c r="G26" s="108">
        <f t="shared" si="0"/>
        <v>15900882.029999999</v>
      </c>
      <c r="H26" s="385"/>
      <c r="I26" s="359"/>
    </row>
    <row r="27" spans="1:11" s="171" customFormat="1">
      <c r="A27" s="82">
        <f t="shared" si="1"/>
        <v>12</v>
      </c>
      <c r="B27" s="104" t="s">
        <v>753</v>
      </c>
      <c r="C27" s="217">
        <v>368.1</v>
      </c>
      <c r="D27" s="280">
        <v>20905432.16</v>
      </c>
      <c r="E27" s="358"/>
      <c r="F27" s="358">
        <f>-E27*0.2</f>
        <v>0</v>
      </c>
      <c r="G27" s="357">
        <f t="shared" si="0"/>
        <v>20905432.16</v>
      </c>
      <c r="H27" s="376"/>
      <c r="I27" s="361"/>
    </row>
    <row r="28" spans="1:11">
      <c r="A28" s="82">
        <f t="shared" si="1"/>
        <v>13</v>
      </c>
      <c r="B28" s="82" t="s">
        <v>330</v>
      </c>
      <c r="C28" s="81">
        <v>369</v>
      </c>
      <c r="D28" s="280">
        <v>3829016.54</v>
      </c>
      <c r="E28" s="280">
        <v>173</v>
      </c>
      <c r="F28" s="358">
        <f>-E28*0.2</f>
        <v>-34.6</v>
      </c>
      <c r="G28" s="108">
        <f t="shared" si="0"/>
        <v>3829154.94</v>
      </c>
      <c r="H28" s="385"/>
      <c r="I28" s="359"/>
      <c r="J28" s="360"/>
      <c r="K28" s="359"/>
    </row>
    <row r="29" spans="1:11">
      <c r="A29" s="82">
        <f t="shared" si="1"/>
        <v>14</v>
      </c>
      <c r="B29" s="82" t="s">
        <v>331</v>
      </c>
      <c r="C29" s="81">
        <v>370</v>
      </c>
      <c r="D29" s="280">
        <v>1168860.97</v>
      </c>
      <c r="E29" s="280"/>
      <c r="F29" s="280"/>
      <c r="G29" s="108">
        <f t="shared" si="0"/>
        <v>1168860.97</v>
      </c>
      <c r="H29" s="385"/>
    </row>
    <row r="30" spans="1:11">
      <c r="A30" s="82">
        <f t="shared" si="1"/>
        <v>15</v>
      </c>
      <c r="B30" s="82" t="s">
        <v>706</v>
      </c>
      <c r="C30" s="81">
        <v>370.1</v>
      </c>
      <c r="D30" s="280">
        <v>20638.59</v>
      </c>
      <c r="E30" s="280"/>
      <c r="F30" s="280"/>
      <c r="G30" s="108">
        <f t="shared" si="0"/>
        <v>20638.59</v>
      </c>
      <c r="H30" s="496"/>
    </row>
    <row r="31" spans="1:11" ht="13.5" thickBot="1">
      <c r="A31" s="82">
        <f t="shared" si="1"/>
        <v>16</v>
      </c>
      <c r="B31" s="104" t="s">
        <v>581</v>
      </c>
      <c r="D31" s="109">
        <f>SUM(D20:D30)</f>
        <v>204026140.06</v>
      </c>
      <c r="E31" s="356">
        <f>SUM(E20:E30)</f>
        <v>85878</v>
      </c>
      <c r="F31" s="356">
        <f>SUM(F20:F30)</f>
        <v>-17175.599999999999</v>
      </c>
      <c r="G31" s="109">
        <f>SUM(G20:G30)</f>
        <v>204094842.46000001</v>
      </c>
      <c r="H31" s="111"/>
    </row>
    <row r="32" spans="1:11" ht="13.5" thickTop="1">
      <c r="D32" s="108"/>
      <c r="E32" s="357"/>
      <c r="F32" s="357"/>
      <c r="G32" s="108"/>
      <c r="H32" s="111"/>
    </row>
    <row r="33" spans="1:8">
      <c r="A33" s="104" t="s">
        <v>579</v>
      </c>
      <c r="B33" s="88" t="s">
        <v>367</v>
      </c>
      <c r="D33" s="108"/>
      <c r="E33" s="357"/>
      <c r="F33" s="357"/>
      <c r="G33" s="108"/>
      <c r="H33" s="111"/>
    </row>
    <row r="34" spans="1:8">
      <c r="A34" s="82">
        <f>A31+1</f>
        <v>17</v>
      </c>
      <c r="B34" s="82" t="s">
        <v>322</v>
      </c>
      <c r="C34" s="81">
        <v>390</v>
      </c>
      <c r="D34" s="280">
        <v>213194</v>
      </c>
      <c r="E34" s="280"/>
      <c r="F34" s="280"/>
      <c r="G34" s="108">
        <f t="shared" ref="G34:G44" si="2">D34+E34+F34</f>
        <v>213194</v>
      </c>
      <c r="H34" s="494"/>
    </row>
    <row r="35" spans="1:8">
      <c r="A35" s="82">
        <f t="shared" ref="A35:A45" si="3">A34+1</f>
        <v>18</v>
      </c>
      <c r="B35" s="104" t="s">
        <v>332</v>
      </c>
      <c r="C35" s="163">
        <v>391</v>
      </c>
      <c r="D35" s="280">
        <v>25875.61</v>
      </c>
      <c r="E35" s="280"/>
      <c r="F35" s="280"/>
      <c r="G35" s="108">
        <f t="shared" si="2"/>
        <v>25875.61</v>
      </c>
      <c r="H35" s="494"/>
    </row>
    <row r="36" spans="1:8">
      <c r="A36" s="82">
        <f t="shared" si="3"/>
        <v>19</v>
      </c>
      <c r="B36" s="104" t="s">
        <v>707</v>
      </c>
      <c r="C36" s="163">
        <v>391.1</v>
      </c>
      <c r="D36" s="280">
        <v>87572.76</v>
      </c>
      <c r="E36" s="280"/>
      <c r="F36" s="280">
        <v>-83979.56</v>
      </c>
      <c r="G36" s="108">
        <f t="shared" si="2"/>
        <v>3593.1999999999971</v>
      </c>
      <c r="H36" s="494"/>
    </row>
    <row r="37" spans="1:8">
      <c r="A37" s="82">
        <f t="shared" si="3"/>
        <v>20</v>
      </c>
      <c r="B37" s="104" t="s">
        <v>340</v>
      </c>
      <c r="C37" s="163">
        <v>391.2</v>
      </c>
      <c r="D37" s="280"/>
      <c r="E37" s="280"/>
      <c r="F37" s="280"/>
      <c r="G37" s="108">
        <f t="shared" si="2"/>
        <v>0</v>
      </c>
      <c r="H37" s="494"/>
    </row>
    <row r="38" spans="1:8">
      <c r="A38" s="82">
        <f t="shared" si="3"/>
        <v>21</v>
      </c>
      <c r="B38" s="82" t="s">
        <v>333</v>
      </c>
      <c r="C38" s="81">
        <v>392</v>
      </c>
      <c r="D38" s="280">
        <v>112057.69</v>
      </c>
      <c r="E38" s="280"/>
      <c r="F38" s="280">
        <v>-2942</v>
      </c>
      <c r="G38" s="108">
        <f t="shared" si="2"/>
        <v>109115.69</v>
      </c>
      <c r="H38" s="494"/>
    </row>
    <row r="39" spans="1:8">
      <c r="A39" s="82">
        <f t="shared" si="3"/>
        <v>22</v>
      </c>
      <c r="B39" s="82" t="s">
        <v>334</v>
      </c>
      <c r="C39" s="81">
        <v>393</v>
      </c>
      <c r="D39" s="280"/>
      <c r="E39" s="280"/>
      <c r="F39" s="280"/>
      <c r="G39" s="108">
        <f t="shared" si="2"/>
        <v>0</v>
      </c>
      <c r="H39" s="111"/>
    </row>
    <row r="40" spans="1:8">
      <c r="A40" s="82">
        <f t="shared" si="3"/>
        <v>23</v>
      </c>
      <c r="B40" s="82" t="s">
        <v>335</v>
      </c>
      <c r="C40" s="81">
        <v>394</v>
      </c>
      <c r="D40" s="280">
        <v>292130.81</v>
      </c>
      <c r="E40" s="280">
        <v>6825</v>
      </c>
      <c r="F40" s="358">
        <v>0</v>
      </c>
      <c r="G40" s="108">
        <f t="shared" si="2"/>
        <v>298955.81</v>
      </c>
      <c r="H40" s="494"/>
    </row>
    <row r="41" spans="1:8">
      <c r="A41" s="82">
        <f t="shared" si="3"/>
        <v>24</v>
      </c>
      <c r="B41" s="82" t="s">
        <v>336</v>
      </c>
      <c r="C41" s="81">
        <v>395</v>
      </c>
      <c r="D41" s="280"/>
      <c r="E41" s="280"/>
      <c r="F41" s="280"/>
      <c r="G41" s="108">
        <f t="shared" si="2"/>
        <v>0</v>
      </c>
      <c r="H41" s="494"/>
    </row>
    <row r="42" spans="1:8">
      <c r="A42" s="82">
        <f t="shared" si="3"/>
        <v>25</v>
      </c>
      <c r="B42" s="82" t="s">
        <v>337</v>
      </c>
      <c r="C42" s="81">
        <v>396</v>
      </c>
      <c r="D42" s="280"/>
      <c r="E42" s="280"/>
      <c r="F42" s="280"/>
      <c r="G42" s="108">
        <f t="shared" si="2"/>
        <v>0</v>
      </c>
      <c r="H42" s="494"/>
    </row>
    <row r="43" spans="1:8">
      <c r="A43" s="82">
        <f t="shared" si="3"/>
        <v>26</v>
      </c>
      <c r="B43" s="82" t="s">
        <v>331</v>
      </c>
      <c r="C43" s="81">
        <v>397</v>
      </c>
      <c r="D43" s="280">
        <v>229688.56</v>
      </c>
      <c r="E43" s="280"/>
      <c r="F43" s="280"/>
      <c r="G43" s="108">
        <f t="shared" si="2"/>
        <v>229688.56</v>
      </c>
      <c r="H43" s="494"/>
    </row>
    <row r="44" spans="1:8">
      <c r="A44" s="82">
        <f t="shared" si="3"/>
        <v>27</v>
      </c>
      <c r="B44" s="82" t="s">
        <v>338</v>
      </c>
      <c r="C44" s="81">
        <v>398</v>
      </c>
      <c r="D44" s="280"/>
      <c r="E44" s="280"/>
      <c r="F44" s="280"/>
      <c r="G44" s="108">
        <f t="shared" si="2"/>
        <v>0</v>
      </c>
    </row>
    <row r="45" spans="1:8" ht="13.5" thickBot="1">
      <c r="A45" s="82">
        <f t="shared" si="3"/>
        <v>28</v>
      </c>
      <c r="B45" s="104" t="s">
        <v>582</v>
      </c>
      <c r="D45" s="109">
        <f>SUM(D34:D44)</f>
        <v>960519.42999999993</v>
      </c>
      <c r="E45" s="109">
        <f>SUM(E34:E44)</f>
        <v>6825</v>
      </c>
      <c r="F45" s="109">
        <f>SUM(F34:F44)</f>
        <v>-86921.56</v>
      </c>
      <c r="G45" s="109">
        <f>SUM(G34:G44)</f>
        <v>880422.87000000011</v>
      </c>
    </row>
    <row r="46" spans="1:8" ht="13.5" thickTop="1">
      <c r="D46" s="110"/>
      <c r="E46" s="110"/>
      <c r="F46" s="110"/>
      <c r="G46" s="110"/>
    </row>
    <row r="47" spans="1:8" ht="13.5" thickBot="1">
      <c r="A47" s="82">
        <f>A45+1</f>
        <v>29</v>
      </c>
      <c r="B47" s="113" t="s">
        <v>597</v>
      </c>
      <c r="D47" s="109">
        <f>+D17+D31+D45</f>
        <v>205659207.74000001</v>
      </c>
      <c r="E47" s="356">
        <f>+E17+E31+E45</f>
        <v>92703</v>
      </c>
      <c r="F47" s="109">
        <f>+F17+F31+F45</f>
        <v>-104097.16</v>
      </c>
      <c r="G47" s="109">
        <f>+G17+G31+G45</f>
        <v>205647813.58000001</v>
      </c>
    </row>
    <row r="48" spans="1:8" ht="13.5" thickTop="1">
      <c r="D48" s="108"/>
      <c r="E48" s="108"/>
      <c r="F48" s="108"/>
      <c r="G48" s="108"/>
    </row>
    <row r="49" spans="3:7">
      <c r="D49" s="108"/>
      <c r="E49" s="108"/>
      <c r="F49" s="108"/>
      <c r="G49" s="108"/>
    </row>
    <row r="50" spans="3:7">
      <c r="C50" s="362"/>
      <c r="D50" s="305"/>
      <c r="E50" s="363"/>
      <c r="F50" s="84"/>
      <c r="G50" s="84"/>
    </row>
    <row r="51" spans="3:7">
      <c r="C51" s="364"/>
      <c r="D51" s="365"/>
      <c r="E51" s="363"/>
      <c r="F51" s="84"/>
      <c r="G51" s="84"/>
    </row>
    <row r="52" spans="3:7">
      <c r="C52" s="364"/>
      <c r="D52" s="366"/>
      <c r="E52" s="363"/>
      <c r="F52" s="84"/>
      <c r="G52" s="84"/>
    </row>
    <row r="53" spans="3:7">
      <c r="D53" s="84"/>
      <c r="E53" s="92"/>
      <c r="F53" s="84"/>
      <c r="G53" s="84"/>
    </row>
    <row r="54" spans="3:7">
      <c r="D54" s="84"/>
      <c r="E54" s="84"/>
      <c r="F54" s="84"/>
      <c r="G54" s="84"/>
    </row>
    <row r="55" spans="3:7">
      <c r="D55" s="84"/>
      <c r="E55" s="84"/>
      <c r="F55" s="84"/>
      <c r="G55" s="84"/>
    </row>
    <row r="56" spans="3:7">
      <c r="D56" s="367"/>
      <c r="E56" s="84"/>
      <c r="F56" s="84"/>
      <c r="G56" s="84"/>
    </row>
    <row r="57" spans="3:7">
      <c r="D57" s="84"/>
      <c r="E57" s="84"/>
      <c r="F57" s="84"/>
      <c r="G57" s="84"/>
    </row>
    <row r="58" spans="3:7">
      <c r="D58" s="84"/>
      <c r="E58" s="84"/>
      <c r="F58" s="84"/>
      <c r="G58" s="84"/>
    </row>
    <row r="59" spans="3:7">
      <c r="D59" s="84"/>
      <c r="E59" s="84"/>
      <c r="F59" s="84"/>
      <c r="G59" s="84"/>
    </row>
    <row r="60" spans="3:7">
      <c r="D60" s="84"/>
      <c r="E60" s="84"/>
      <c r="F60" s="84"/>
      <c r="G60" s="84"/>
    </row>
    <row r="61" spans="3:7">
      <c r="D61" s="84"/>
      <c r="E61" s="84"/>
      <c r="F61" s="84"/>
      <c r="G61" s="84"/>
    </row>
    <row r="62" spans="3:7">
      <c r="D62" s="84"/>
      <c r="E62" s="84"/>
      <c r="F62" s="84"/>
      <c r="G62" s="84"/>
    </row>
    <row r="63" spans="3:7">
      <c r="D63" s="84"/>
      <c r="E63" s="84"/>
      <c r="F63" s="84"/>
      <c r="G63" s="84"/>
    </row>
    <row r="64" spans="3:7">
      <c r="D64" s="84"/>
      <c r="E64" s="84"/>
      <c r="F64" s="84"/>
      <c r="G64" s="84"/>
    </row>
    <row r="65" spans="4:7">
      <c r="D65" s="84"/>
      <c r="E65" s="84"/>
      <c r="F65" s="84"/>
      <c r="G65" s="84"/>
    </row>
    <row r="66" spans="4:7">
      <c r="D66" s="84"/>
      <c r="E66" s="84"/>
      <c r="F66" s="84"/>
      <c r="G66" s="84"/>
    </row>
    <row r="67" spans="4:7">
      <c r="D67" s="84"/>
      <c r="E67" s="84"/>
      <c r="F67" s="84"/>
      <c r="G67" s="84"/>
    </row>
    <row r="68" spans="4:7">
      <c r="D68" s="84"/>
      <c r="E68" s="84"/>
      <c r="F68" s="84"/>
      <c r="G68" s="84"/>
    </row>
    <row r="69" spans="4:7">
      <c r="D69" s="84"/>
      <c r="E69" s="84"/>
      <c r="F69" s="84"/>
      <c r="G69" s="84"/>
    </row>
    <row r="70" spans="4:7">
      <c r="D70" s="84"/>
      <c r="E70" s="84"/>
      <c r="F70" s="84"/>
      <c r="G70" s="84"/>
    </row>
    <row r="71" spans="4:7">
      <c r="D71" s="84"/>
      <c r="E71" s="84"/>
      <c r="F71" s="84"/>
      <c r="G71" s="84"/>
    </row>
    <row r="72" spans="4:7">
      <c r="D72" s="84"/>
      <c r="E72" s="84"/>
      <c r="F72" s="84"/>
      <c r="G72" s="84"/>
    </row>
    <row r="73" spans="4:7">
      <c r="D73" s="84"/>
      <c r="E73" s="84"/>
      <c r="F73" s="84"/>
      <c r="G73" s="84"/>
    </row>
    <row r="74" spans="4:7">
      <c r="D74" s="84"/>
      <c r="E74" s="84"/>
      <c r="F74" s="84"/>
      <c r="G74" s="84"/>
    </row>
    <row r="75" spans="4:7">
      <c r="D75" s="84"/>
      <c r="E75" s="84"/>
      <c r="F75" s="84"/>
      <c r="G75" s="84"/>
    </row>
    <row r="76" spans="4:7">
      <c r="D76" s="84"/>
      <c r="E76" s="84"/>
      <c r="F76" s="84"/>
      <c r="G76" s="84"/>
    </row>
    <row r="77" spans="4:7">
      <c r="D77" s="84"/>
      <c r="E77" s="84"/>
      <c r="F77" s="84"/>
      <c r="G77" s="84"/>
    </row>
    <row r="78" spans="4:7">
      <c r="D78" s="84"/>
      <c r="E78" s="84"/>
      <c r="F78" s="84"/>
      <c r="G78" s="84"/>
    </row>
    <row r="79" spans="4:7">
      <c r="D79" s="84"/>
      <c r="E79" s="84"/>
      <c r="F79" s="84"/>
      <c r="G79" s="84"/>
    </row>
    <row r="80" spans="4:7">
      <c r="D80" s="84"/>
      <c r="E80" s="84"/>
      <c r="F80" s="84"/>
      <c r="G80" s="84"/>
    </row>
    <row r="81" spans="4:7">
      <c r="D81" s="84"/>
      <c r="E81" s="84"/>
      <c r="F81" s="84"/>
      <c r="G81" s="84"/>
    </row>
    <row r="82" spans="4:7">
      <c r="D82" s="84"/>
      <c r="E82" s="84"/>
      <c r="F82" s="84"/>
      <c r="G82" s="84"/>
    </row>
    <row r="83" spans="4:7">
      <c r="D83" s="84"/>
      <c r="E83" s="84"/>
      <c r="F83" s="84"/>
      <c r="G83" s="84"/>
    </row>
    <row r="84" spans="4:7">
      <c r="D84" s="84"/>
      <c r="E84" s="84"/>
      <c r="F84" s="84"/>
      <c r="G84" s="84"/>
    </row>
    <row r="85" spans="4:7">
      <c r="D85" s="84"/>
      <c r="E85" s="84"/>
      <c r="F85" s="84"/>
      <c r="G85" s="84"/>
    </row>
    <row r="86" spans="4:7">
      <c r="D86" s="84"/>
      <c r="E86" s="84"/>
      <c r="F86" s="84"/>
      <c r="G86" s="84"/>
    </row>
    <row r="87" spans="4:7">
      <c r="D87" s="84"/>
      <c r="E87" s="84"/>
      <c r="F87" s="84"/>
      <c r="G87" s="84"/>
    </row>
    <row r="88" spans="4:7">
      <c r="D88" s="84"/>
      <c r="E88" s="84"/>
      <c r="F88" s="84"/>
      <c r="G88" s="84"/>
    </row>
    <row r="89" spans="4:7">
      <c r="D89" s="84"/>
      <c r="E89" s="84"/>
      <c r="F89" s="84"/>
      <c r="G89" s="84"/>
    </row>
    <row r="90" spans="4:7">
      <c r="D90" s="84"/>
      <c r="E90" s="84"/>
      <c r="F90" s="84"/>
      <c r="G90" s="84"/>
    </row>
    <row r="91" spans="4:7">
      <c r="D91" s="84"/>
      <c r="E91" s="84"/>
      <c r="F91" s="84"/>
      <c r="G91" s="84"/>
    </row>
    <row r="92" spans="4:7">
      <c r="D92" s="84"/>
      <c r="E92" s="84"/>
      <c r="F92" s="84"/>
      <c r="G92" s="84"/>
    </row>
    <row r="93" spans="4:7">
      <c r="D93" s="84"/>
      <c r="E93" s="84"/>
      <c r="F93" s="84"/>
      <c r="G93" s="84"/>
    </row>
    <row r="94" spans="4:7">
      <c r="D94" s="84"/>
      <c r="E94" s="84"/>
      <c r="F94" s="84"/>
      <c r="G94" s="84"/>
    </row>
    <row r="95" spans="4:7">
      <c r="D95" s="84"/>
      <c r="E95" s="84"/>
      <c r="F95" s="84"/>
      <c r="G95" s="84"/>
    </row>
    <row r="96" spans="4:7">
      <c r="D96" s="84"/>
      <c r="E96" s="84"/>
      <c r="F96" s="84"/>
      <c r="G96" s="84"/>
    </row>
    <row r="97" spans="4:7">
      <c r="D97" s="84"/>
      <c r="E97" s="84"/>
      <c r="F97" s="84"/>
      <c r="G97" s="84"/>
    </row>
    <row r="98" spans="4:7">
      <c r="D98" s="84"/>
      <c r="E98" s="84"/>
      <c r="F98" s="84"/>
      <c r="G98" s="84"/>
    </row>
    <row r="99" spans="4:7">
      <c r="D99" s="84"/>
      <c r="E99" s="84"/>
      <c r="F99" s="84"/>
      <c r="G99" s="84"/>
    </row>
    <row r="100" spans="4:7">
      <c r="D100" s="84"/>
      <c r="E100" s="84"/>
      <c r="F100" s="84"/>
      <c r="G100" s="84"/>
    </row>
    <row r="101" spans="4:7">
      <c r="D101" s="84"/>
      <c r="E101" s="84"/>
      <c r="F101" s="84"/>
      <c r="G101" s="84"/>
    </row>
    <row r="102" spans="4:7">
      <c r="D102" s="84"/>
      <c r="E102" s="84"/>
      <c r="F102" s="84"/>
      <c r="G102" s="84"/>
    </row>
    <row r="103" spans="4:7">
      <c r="D103" s="84"/>
      <c r="E103" s="84"/>
      <c r="F103" s="84"/>
      <c r="G103" s="84"/>
    </row>
    <row r="104" spans="4:7">
      <c r="D104" s="84"/>
      <c r="E104" s="84"/>
      <c r="F104" s="84"/>
      <c r="G104" s="84"/>
    </row>
    <row r="105" spans="4:7">
      <c r="D105" s="84"/>
      <c r="E105" s="84"/>
      <c r="F105" s="84"/>
      <c r="G105" s="84"/>
    </row>
    <row r="106" spans="4:7">
      <c r="D106" s="84"/>
      <c r="E106" s="84"/>
      <c r="F106" s="84"/>
      <c r="G106" s="84"/>
    </row>
    <row r="107" spans="4:7">
      <c r="D107" s="84"/>
      <c r="E107" s="84"/>
      <c r="F107" s="84"/>
      <c r="G107" s="84"/>
    </row>
    <row r="108" spans="4:7">
      <c r="D108" s="84"/>
      <c r="E108" s="84"/>
      <c r="F108" s="84"/>
      <c r="G108" s="84"/>
    </row>
    <row r="109" spans="4:7">
      <c r="D109" s="84"/>
      <c r="E109" s="84"/>
      <c r="F109" s="84"/>
      <c r="G109" s="84"/>
    </row>
    <row r="110" spans="4:7">
      <c r="D110" s="84"/>
      <c r="E110" s="84"/>
      <c r="F110" s="84"/>
      <c r="G110" s="84"/>
    </row>
    <row r="111" spans="4:7">
      <c r="D111" s="84"/>
      <c r="E111" s="84"/>
      <c r="F111" s="84"/>
      <c r="G111" s="84"/>
    </row>
    <row r="112" spans="4:7">
      <c r="D112" s="84"/>
      <c r="E112" s="84"/>
      <c r="F112" s="84"/>
      <c r="G112" s="84"/>
    </row>
    <row r="113" spans="4:7">
      <c r="D113" s="84"/>
      <c r="E113" s="84"/>
      <c r="F113" s="84"/>
      <c r="G113" s="84"/>
    </row>
    <row r="114" spans="4:7">
      <c r="D114" s="84"/>
      <c r="E114" s="84"/>
      <c r="F114" s="84"/>
      <c r="G114" s="84"/>
    </row>
    <row r="115" spans="4:7">
      <c r="D115" s="84"/>
      <c r="E115" s="84"/>
      <c r="F115" s="84"/>
      <c r="G115" s="84"/>
    </row>
    <row r="116" spans="4:7">
      <c r="D116" s="84"/>
      <c r="E116" s="84"/>
      <c r="F116" s="84"/>
      <c r="G116" s="84"/>
    </row>
    <row r="117" spans="4:7">
      <c r="D117" s="84"/>
      <c r="E117" s="84"/>
      <c r="F117" s="84"/>
      <c r="G117" s="84"/>
    </row>
    <row r="118" spans="4:7">
      <c r="D118" s="84"/>
      <c r="E118" s="84"/>
      <c r="F118" s="84"/>
      <c r="G118" s="84"/>
    </row>
    <row r="119" spans="4:7">
      <c r="D119" s="84"/>
      <c r="E119" s="84"/>
      <c r="F119" s="84"/>
      <c r="G119" s="84"/>
    </row>
    <row r="120" spans="4:7">
      <c r="D120" s="84"/>
      <c r="E120" s="84"/>
      <c r="F120" s="84"/>
      <c r="G120" s="84"/>
    </row>
    <row r="121" spans="4:7">
      <c r="D121" s="84"/>
      <c r="E121" s="84"/>
      <c r="F121" s="84"/>
      <c r="G121" s="84"/>
    </row>
    <row r="122" spans="4:7">
      <c r="D122" s="84"/>
      <c r="E122" s="84"/>
      <c r="F122" s="84"/>
      <c r="G122" s="84"/>
    </row>
    <row r="123" spans="4:7">
      <c r="D123" s="84"/>
      <c r="E123" s="84"/>
      <c r="F123" s="84"/>
      <c r="G123" s="84"/>
    </row>
    <row r="124" spans="4:7">
      <c r="D124" s="84"/>
      <c r="E124" s="84"/>
      <c r="F124" s="84"/>
      <c r="G124" s="84"/>
    </row>
    <row r="125" spans="4:7">
      <c r="D125" s="84"/>
      <c r="E125" s="84"/>
      <c r="F125" s="84"/>
      <c r="G125" s="84"/>
    </row>
    <row r="126" spans="4:7">
      <c r="D126" s="84"/>
      <c r="E126" s="84"/>
      <c r="F126" s="84"/>
      <c r="G126" s="84"/>
    </row>
    <row r="127" spans="4:7">
      <c r="D127" s="84"/>
      <c r="E127" s="84"/>
      <c r="F127" s="84"/>
      <c r="G127" s="84"/>
    </row>
    <row r="128" spans="4:7">
      <c r="D128" s="84"/>
      <c r="E128" s="84"/>
      <c r="F128" s="84"/>
      <c r="G128" s="84"/>
    </row>
    <row r="129" spans="4:7">
      <c r="D129" s="84"/>
      <c r="E129" s="84"/>
      <c r="F129" s="84"/>
      <c r="G129" s="84"/>
    </row>
    <row r="130" spans="4:7">
      <c r="D130" s="84"/>
      <c r="E130" s="84"/>
      <c r="F130" s="84"/>
      <c r="G130" s="84"/>
    </row>
    <row r="131" spans="4:7">
      <c r="D131" s="84"/>
      <c r="E131" s="84"/>
      <c r="F131" s="84"/>
      <c r="G131" s="84"/>
    </row>
    <row r="132" spans="4:7">
      <c r="D132" s="84"/>
      <c r="E132" s="84"/>
      <c r="F132" s="84"/>
      <c r="G132" s="84"/>
    </row>
    <row r="133" spans="4:7">
      <c r="D133" s="84"/>
      <c r="E133" s="84"/>
      <c r="F133" s="84"/>
      <c r="G133" s="84"/>
    </row>
    <row r="134" spans="4:7">
      <c r="D134" s="84"/>
      <c r="E134" s="84"/>
      <c r="F134" s="84"/>
      <c r="G134" s="84"/>
    </row>
    <row r="135" spans="4:7">
      <c r="D135" s="84"/>
      <c r="E135" s="84"/>
      <c r="F135" s="84"/>
      <c r="G135" s="84"/>
    </row>
    <row r="136" spans="4:7">
      <c r="D136" s="84"/>
      <c r="E136" s="84"/>
      <c r="F136" s="84"/>
      <c r="G136" s="84"/>
    </row>
    <row r="137" spans="4:7">
      <c r="D137" s="84"/>
      <c r="E137" s="84"/>
      <c r="F137" s="84"/>
      <c r="G137" s="84"/>
    </row>
    <row r="138" spans="4:7">
      <c r="D138" s="84"/>
      <c r="E138" s="84"/>
      <c r="F138" s="84"/>
      <c r="G138" s="84"/>
    </row>
    <row r="139" spans="4:7">
      <c r="D139" s="84"/>
      <c r="E139" s="84"/>
      <c r="F139" s="84"/>
      <c r="G139" s="84"/>
    </row>
    <row r="140" spans="4:7">
      <c r="D140" s="84"/>
      <c r="E140" s="84"/>
      <c r="F140" s="84"/>
      <c r="G140" s="84"/>
    </row>
    <row r="141" spans="4:7">
      <c r="D141" s="84"/>
      <c r="E141" s="84"/>
      <c r="F141" s="84"/>
      <c r="G141" s="84"/>
    </row>
    <row r="142" spans="4:7">
      <c r="D142" s="84"/>
      <c r="E142" s="84"/>
      <c r="F142" s="84"/>
      <c r="G142" s="84"/>
    </row>
    <row r="143" spans="4:7">
      <c r="D143" s="84"/>
      <c r="E143" s="84"/>
      <c r="F143" s="84"/>
      <c r="G143" s="84"/>
    </row>
    <row r="144" spans="4:7">
      <c r="D144" s="84"/>
      <c r="E144" s="84"/>
      <c r="F144" s="84"/>
      <c r="G144" s="84"/>
    </row>
    <row r="145" spans="4:7">
      <c r="D145" s="84"/>
      <c r="E145" s="84"/>
      <c r="F145" s="84"/>
      <c r="G145" s="84"/>
    </row>
    <row r="146" spans="4:7">
      <c r="D146" s="84"/>
      <c r="E146" s="84"/>
      <c r="F146" s="84"/>
      <c r="G146" s="84"/>
    </row>
    <row r="147" spans="4:7">
      <c r="D147" s="84"/>
      <c r="E147" s="84"/>
      <c r="F147" s="84"/>
      <c r="G147" s="84"/>
    </row>
    <row r="148" spans="4:7">
      <c r="D148" s="84"/>
      <c r="E148" s="84"/>
      <c r="F148" s="84"/>
      <c r="G148" s="84"/>
    </row>
    <row r="149" spans="4:7">
      <c r="D149" s="84"/>
      <c r="E149" s="84"/>
      <c r="F149" s="84"/>
      <c r="G149" s="84"/>
    </row>
    <row r="150" spans="4:7">
      <c r="D150" s="84"/>
      <c r="E150" s="84"/>
      <c r="F150" s="84"/>
      <c r="G150" s="84"/>
    </row>
    <row r="151" spans="4:7">
      <c r="D151" s="84"/>
      <c r="E151" s="84"/>
      <c r="F151" s="84"/>
      <c r="G151" s="84"/>
    </row>
    <row r="152" spans="4:7">
      <c r="D152" s="84"/>
      <c r="E152" s="84"/>
      <c r="F152" s="84"/>
      <c r="G152" s="84"/>
    </row>
    <row r="153" spans="4:7">
      <c r="D153" s="84"/>
      <c r="E153" s="84"/>
      <c r="F153" s="84"/>
      <c r="G153" s="84"/>
    </row>
    <row r="154" spans="4:7">
      <c r="D154" s="84"/>
      <c r="E154" s="84"/>
      <c r="F154" s="84"/>
      <c r="G154" s="84"/>
    </row>
    <row r="155" spans="4:7">
      <c r="D155" s="84"/>
      <c r="E155" s="84"/>
      <c r="F155" s="84"/>
      <c r="G155" s="84"/>
    </row>
    <row r="156" spans="4:7">
      <c r="D156" s="84"/>
      <c r="E156" s="84"/>
      <c r="F156" s="84"/>
      <c r="G156" s="84"/>
    </row>
    <row r="157" spans="4:7">
      <c r="D157" s="84"/>
      <c r="E157" s="84"/>
      <c r="F157" s="84"/>
      <c r="G157" s="84"/>
    </row>
    <row r="158" spans="4:7">
      <c r="D158" s="84"/>
      <c r="E158" s="84"/>
      <c r="F158" s="84"/>
      <c r="G158" s="84"/>
    </row>
    <row r="159" spans="4:7">
      <c r="D159" s="84"/>
      <c r="E159" s="84"/>
      <c r="F159" s="84"/>
      <c r="G159" s="84"/>
    </row>
    <row r="160" spans="4:7">
      <c r="D160" s="84"/>
      <c r="E160" s="84"/>
      <c r="F160" s="84"/>
      <c r="G160" s="84"/>
    </row>
    <row r="161" spans="4:7">
      <c r="D161" s="84"/>
      <c r="E161" s="84"/>
      <c r="F161" s="84"/>
      <c r="G161" s="84"/>
    </row>
    <row r="162" spans="4:7">
      <c r="D162" s="84"/>
      <c r="E162" s="84"/>
      <c r="F162" s="84"/>
      <c r="G162" s="84"/>
    </row>
    <row r="163" spans="4:7">
      <c r="D163" s="84"/>
      <c r="E163" s="84"/>
      <c r="F163" s="84"/>
      <c r="G163" s="84"/>
    </row>
    <row r="164" spans="4:7">
      <c r="D164" s="84"/>
      <c r="E164" s="84"/>
      <c r="F164" s="84"/>
      <c r="G164" s="84"/>
    </row>
    <row r="165" spans="4:7">
      <c r="D165" s="84"/>
      <c r="E165" s="84"/>
      <c r="F165" s="84"/>
      <c r="G165" s="84"/>
    </row>
    <row r="166" spans="4:7">
      <c r="D166" s="84"/>
      <c r="E166" s="84"/>
      <c r="F166" s="84"/>
      <c r="G166" s="84"/>
    </row>
    <row r="167" spans="4:7">
      <c r="D167" s="84"/>
      <c r="E167" s="84"/>
      <c r="F167" s="84"/>
      <c r="G167" s="84"/>
    </row>
    <row r="168" spans="4:7">
      <c r="D168" s="84"/>
      <c r="E168" s="84"/>
      <c r="F168" s="84"/>
      <c r="G168" s="84"/>
    </row>
    <row r="169" spans="4:7">
      <c r="D169" s="84"/>
      <c r="E169" s="84"/>
      <c r="F169" s="84"/>
      <c r="G169" s="84"/>
    </row>
    <row r="170" spans="4:7">
      <c r="D170" s="84"/>
      <c r="E170" s="84"/>
      <c r="F170" s="84"/>
      <c r="G170" s="84"/>
    </row>
    <row r="171" spans="4:7">
      <c r="D171" s="84"/>
      <c r="E171" s="84"/>
      <c r="F171" s="84"/>
      <c r="G171" s="84"/>
    </row>
    <row r="172" spans="4:7">
      <c r="D172" s="84"/>
      <c r="E172" s="84"/>
      <c r="F172" s="84"/>
      <c r="G172" s="84"/>
    </row>
    <row r="173" spans="4:7">
      <c r="D173" s="84"/>
      <c r="E173" s="84"/>
      <c r="F173" s="84"/>
      <c r="G173" s="84"/>
    </row>
    <row r="174" spans="4:7">
      <c r="D174" s="84"/>
      <c r="E174" s="84"/>
      <c r="F174" s="84"/>
      <c r="G174" s="84"/>
    </row>
    <row r="175" spans="4:7">
      <c r="D175" s="84"/>
      <c r="E175" s="84"/>
      <c r="F175" s="84"/>
      <c r="G175" s="84"/>
    </row>
    <row r="176" spans="4:7">
      <c r="D176" s="84"/>
      <c r="E176" s="84"/>
      <c r="F176" s="84"/>
      <c r="G176" s="84"/>
    </row>
    <row r="177" spans="4:7">
      <c r="D177" s="84"/>
      <c r="E177" s="84"/>
      <c r="F177" s="84"/>
      <c r="G177" s="84"/>
    </row>
    <row r="178" spans="4:7">
      <c r="D178" s="84"/>
      <c r="E178" s="84"/>
      <c r="F178" s="84"/>
      <c r="G178" s="84"/>
    </row>
    <row r="179" spans="4:7">
      <c r="D179" s="84"/>
      <c r="E179" s="84"/>
      <c r="F179" s="84"/>
      <c r="G179" s="84"/>
    </row>
    <row r="180" spans="4:7">
      <c r="D180" s="84"/>
      <c r="E180" s="84"/>
      <c r="F180" s="84"/>
      <c r="G180" s="84"/>
    </row>
    <row r="181" spans="4:7">
      <c r="D181" s="84"/>
      <c r="E181" s="84"/>
      <c r="F181" s="84"/>
      <c r="G181" s="84"/>
    </row>
    <row r="182" spans="4:7">
      <c r="D182" s="84"/>
      <c r="E182" s="84"/>
      <c r="F182" s="84"/>
      <c r="G182" s="84"/>
    </row>
    <row r="183" spans="4:7">
      <c r="D183" s="84"/>
      <c r="E183" s="84"/>
      <c r="F183" s="84"/>
      <c r="G183" s="84"/>
    </row>
    <row r="184" spans="4:7">
      <c r="D184" s="84"/>
      <c r="E184" s="84"/>
      <c r="F184" s="84"/>
      <c r="G184" s="84"/>
    </row>
    <row r="185" spans="4:7">
      <c r="D185" s="84"/>
      <c r="E185" s="84"/>
      <c r="F185" s="84"/>
      <c r="G185" s="84"/>
    </row>
    <row r="186" spans="4:7">
      <c r="D186" s="84"/>
      <c r="E186" s="84"/>
      <c r="F186" s="84"/>
      <c r="G186" s="84"/>
    </row>
    <row r="187" spans="4:7">
      <c r="D187" s="84"/>
      <c r="E187" s="84"/>
      <c r="F187" s="84"/>
      <c r="G187" s="84"/>
    </row>
    <row r="188" spans="4:7">
      <c r="D188" s="84"/>
      <c r="E188" s="84"/>
      <c r="F188" s="84"/>
      <c r="G188" s="84"/>
    </row>
    <row r="189" spans="4:7">
      <c r="D189" s="84"/>
      <c r="E189" s="84"/>
      <c r="F189" s="84"/>
      <c r="G189" s="84"/>
    </row>
    <row r="190" spans="4:7">
      <c r="D190" s="84"/>
      <c r="E190" s="84"/>
      <c r="F190" s="84"/>
      <c r="G190" s="84"/>
    </row>
    <row r="191" spans="4:7">
      <c r="D191" s="84"/>
      <c r="E191" s="84"/>
      <c r="F191" s="84"/>
      <c r="G191" s="84"/>
    </row>
    <row r="192" spans="4:7">
      <c r="D192" s="84"/>
      <c r="E192" s="84"/>
      <c r="F192" s="84"/>
      <c r="G192" s="84"/>
    </row>
    <row r="193" spans="4:7">
      <c r="D193" s="84"/>
      <c r="E193" s="84"/>
      <c r="F193" s="84"/>
      <c r="G193" s="84"/>
    </row>
    <row r="194" spans="4:7">
      <c r="D194" s="84"/>
      <c r="E194" s="84"/>
      <c r="F194" s="84"/>
      <c r="G194" s="84"/>
    </row>
    <row r="195" spans="4:7">
      <c r="D195" s="84"/>
      <c r="E195" s="84"/>
      <c r="F195" s="84"/>
      <c r="G195" s="84"/>
    </row>
    <row r="196" spans="4:7">
      <c r="D196" s="84"/>
      <c r="E196" s="84"/>
      <c r="F196" s="84"/>
      <c r="G196" s="84"/>
    </row>
    <row r="197" spans="4:7">
      <c r="D197" s="84"/>
      <c r="E197" s="84"/>
      <c r="F197" s="84"/>
      <c r="G197" s="84"/>
    </row>
    <row r="198" spans="4:7">
      <c r="D198" s="84"/>
      <c r="E198" s="84"/>
      <c r="F198" s="84"/>
      <c r="G198" s="84"/>
    </row>
    <row r="199" spans="4:7">
      <c r="D199" s="84"/>
      <c r="E199" s="84"/>
      <c r="F199" s="84"/>
      <c r="G199" s="84"/>
    </row>
    <row r="200" spans="4:7">
      <c r="D200" s="84"/>
      <c r="E200" s="84"/>
      <c r="F200" s="84"/>
      <c r="G200" s="84"/>
    </row>
    <row r="201" spans="4:7">
      <c r="D201" s="84"/>
      <c r="E201" s="84"/>
      <c r="F201" s="84"/>
      <c r="G201" s="84"/>
    </row>
    <row r="202" spans="4:7">
      <c r="D202" s="84"/>
      <c r="E202" s="84"/>
      <c r="F202" s="84"/>
      <c r="G202" s="84"/>
    </row>
    <row r="203" spans="4:7">
      <c r="D203" s="84"/>
      <c r="E203" s="84"/>
      <c r="F203" s="84"/>
      <c r="G203" s="84"/>
    </row>
    <row r="204" spans="4:7">
      <c r="D204" s="84"/>
      <c r="E204" s="84"/>
      <c r="F204" s="84"/>
      <c r="G204" s="84"/>
    </row>
    <row r="205" spans="4:7">
      <c r="D205" s="84"/>
      <c r="E205" s="84"/>
      <c r="F205" s="84"/>
      <c r="G205" s="84"/>
    </row>
    <row r="206" spans="4:7">
      <c r="D206" s="84"/>
      <c r="E206" s="84"/>
      <c r="F206" s="84"/>
      <c r="G206" s="84"/>
    </row>
    <row r="207" spans="4:7">
      <c r="D207" s="84"/>
      <c r="E207" s="84"/>
      <c r="F207" s="84"/>
      <c r="G207" s="84"/>
    </row>
    <row r="208" spans="4:7">
      <c r="D208" s="84"/>
      <c r="E208" s="84"/>
      <c r="F208" s="84"/>
      <c r="G208" s="84"/>
    </row>
    <row r="209" spans="4:7">
      <c r="D209" s="84"/>
      <c r="E209" s="84"/>
      <c r="F209" s="84"/>
      <c r="G209" s="84"/>
    </row>
    <row r="210" spans="4:7">
      <c r="D210" s="84"/>
      <c r="E210" s="84"/>
      <c r="F210" s="84"/>
      <c r="G210" s="84"/>
    </row>
    <row r="211" spans="4:7">
      <c r="D211" s="84"/>
      <c r="E211" s="84"/>
      <c r="F211" s="84"/>
      <c r="G211" s="84"/>
    </row>
    <row r="212" spans="4:7">
      <c r="D212" s="84"/>
      <c r="E212" s="84"/>
      <c r="F212" s="84"/>
      <c r="G212" s="84"/>
    </row>
    <row r="213" spans="4:7">
      <c r="D213" s="84"/>
      <c r="E213" s="84"/>
      <c r="F213" s="84"/>
      <c r="G213" s="84"/>
    </row>
    <row r="214" spans="4:7">
      <c r="D214" s="84"/>
      <c r="E214" s="84"/>
      <c r="F214" s="84"/>
      <c r="G214" s="84"/>
    </row>
    <row r="215" spans="4:7">
      <c r="D215" s="84"/>
      <c r="E215" s="84"/>
      <c r="F215" s="84"/>
      <c r="G215" s="84"/>
    </row>
    <row r="216" spans="4:7">
      <c r="D216" s="84"/>
      <c r="E216" s="84"/>
      <c r="F216" s="84"/>
      <c r="G216" s="84"/>
    </row>
    <row r="217" spans="4:7">
      <c r="D217" s="84"/>
      <c r="E217" s="84"/>
      <c r="F217" s="84"/>
      <c r="G217" s="84"/>
    </row>
    <row r="218" spans="4:7">
      <c r="D218" s="84"/>
      <c r="E218" s="84"/>
      <c r="F218" s="84"/>
      <c r="G218" s="84"/>
    </row>
    <row r="219" spans="4:7">
      <c r="D219" s="84"/>
      <c r="E219" s="84"/>
      <c r="F219" s="84"/>
      <c r="G219" s="84"/>
    </row>
    <row r="220" spans="4:7">
      <c r="D220" s="84"/>
      <c r="E220" s="84"/>
      <c r="F220" s="84"/>
      <c r="G220" s="84"/>
    </row>
    <row r="221" spans="4:7">
      <c r="D221" s="84"/>
      <c r="E221" s="84"/>
      <c r="F221" s="84"/>
      <c r="G221" s="84"/>
    </row>
    <row r="222" spans="4:7">
      <c r="D222" s="84"/>
      <c r="E222" s="84"/>
      <c r="F222" s="84"/>
      <c r="G222" s="84"/>
    </row>
    <row r="223" spans="4:7">
      <c r="D223" s="84"/>
      <c r="E223" s="84"/>
      <c r="F223" s="84"/>
      <c r="G223" s="84"/>
    </row>
    <row r="224" spans="4:7">
      <c r="D224" s="84"/>
      <c r="E224" s="84"/>
      <c r="F224" s="84"/>
      <c r="G224" s="84"/>
    </row>
    <row r="225" spans="4:7">
      <c r="D225" s="84"/>
      <c r="E225" s="84"/>
      <c r="F225" s="84"/>
      <c r="G225" s="84"/>
    </row>
    <row r="226" spans="4:7">
      <c r="D226" s="84"/>
      <c r="E226" s="84"/>
      <c r="F226" s="84"/>
      <c r="G226" s="84"/>
    </row>
    <row r="227" spans="4:7">
      <c r="D227" s="84"/>
      <c r="E227" s="84"/>
      <c r="F227" s="84"/>
      <c r="G227" s="84"/>
    </row>
    <row r="228" spans="4:7">
      <c r="D228" s="84"/>
      <c r="E228" s="84"/>
      <c r="F228" s="84"/>
      <c r="G228" s="84"/>
    </row>
    <row r="229" spans="4:7">
      <c r="D229" s="84"/>
      <c r="E229" s="84"/>
      <c r="F229" s="84"/>
      <c r="G229" s="84"/>
    </row>
    <row r="230" spans="4:7">
      <c r="D230" s="84"/>
      <c r="E230" s="84"/>
      <c r="F230" s="84"/>
      <c r="G230" s="84"/>
    </row>
    <row r="231" spans="4:7">
      <c r="D231" s="84"/>
      <c r="E231" s="84"/>
      <c r="F231" s="84"/>
      <c r="G231" s="84"/>
    </row>
    <row r="232" spans="4:7">
      <c r="D232" s="84"/>
      <c r="E232" s="84"/>
      <c r="F232" s="84"/>
      <c r="G232" s="84"/>
    </row>
    <row r="233" spans="4:7">
      <c r="D233" s="84"/>
      <c r="E233" s="84"/>
      <c r="F233" s="84"/>
      <c r="G233" s="84"/>
    </row>
    <row r="234" spans="4:7">
      <c r="D234" s="84"/>
      <c r="E234" s="84"/>
      <c r="F234" s="84"/>
      <c r="G234" s="84"/>
    </row>
    <row r="235" spans="4:7">
      <c r="D235" s="84"/>
      <c r="E235" s="84"/>
      <c r="F235" s="84"/>
      <c r="G235" s="84"/>
    </row>
    <row r="236" spans="4:7">
      <c r="D236" s="84"/>
      <c r="E236" s="84"/>
      <c r="F236" s="84"/>
      <c r="G236" s="84"/>
    </row>
    <row r="237" spans="4:7">
      <c r="D237" s="84"/>
      <c r="E237" s="84"/>
      <c r="F237" s="84"/>
      <c r="G237" s="84"/>
    </row>
    <row r="238" spans="4:7">
      <c r="D238" s="84"/>
      <c r="E238" s="84"/>
      <c r="F238" s="84"/>
      <c r="G238" s="84"/>
    </row>
    <row r="239" spans="4:7">
      <c r="D239" s="84"/>
      <c r="E239" s="84"/>
      <c r="F239" s="84"/>
      <c r="G239" s="84"/>
    </row>
    <row r="240" spans="4:7">
      <c r="D240" s="84"/>
      <c r="E240" s="84"/>
      <c r="F240" s="84"/>
      <c r="G240" s="84"/>
    </row>
    <row r="241" spans="4:7">
      <c r="D241" s="84"/>
      <c r="E241" s="84"/>
      <c r="F241" s="84"/>
      <c r="G241" s="84"/>
    </row>
    <row r="242" spans="4:7">
      <c r="D242" s="84"/>
      <c r="E242" s="84"/>
      <c r="F242" s="84"/>
      <c r="G242" s="84"/>
    </row>
    <row r="243" spans="4:7">
      <c r="D243" s="84"/>
      <c r="E243" s="84"/>
      <c r="F243" s="84"/>
      <c r="G243" s="84"/>
    </row>
    <row r="244" spans="4:7">
      <c r="D244" s="84"/>
      <c r="E244" s="84"/>
      <c r="F244" s="84"/>
      <c r="G244" s="84"/>
    </row>
    <row r="245" spans="4:7">
      <c r="D245" s="84"/>
      <c r="E245" s="84"/>
      <c r="F245" s="84"/>
      <c r="G245" s="84"/>
    </row>
    <row r="246" spans="4:7">
      <c r="D246" s="84"/>
      <c r="E246" s="84"/>
      <c r="F246" s="84"/>
      <c r="G246" s="84"/>
    </row>
    <row r="247" spans="4:7">
      <c r="D247" s="84"/>
      <c r="E247" s="84"/>
      <c r="F247" s="84"/>
      <c r="G247" s="84"/>
    </row>
    <row r="248" spans="4:7">
      <c r="D248" s="84"/>
      <c r="E248" s="84"/>
      <c r="F248" s="84"/>
      <c r="G248" s="84"/>
    </row>
    <row r="249" spans="4:7">
      <c r="D249" s="84"/>
      <c r="E249" s="84"/>
      <c r="F249" s="84"/>
      <c r="G249" s="84"/>
    </row>
    <row r="250" spans="4:7">
      <c r="D250" s="84"/>
      <c r="E250" s="84"/>
      <c r="F250" s="84"/>
      <c r="G250" s="84"/>
    </row>
    <row r="251" spans="4:7">
      <c r="D251" s="84"/>
      <c r="E251" s="84"/>
      <c r="F251" s="84"/>
      <c r="G251" s="84"/>
    </row>
    <row r="252" spans="4:7">
      <c r="D252" s="84"/>
      <c r="E252" s="84"/>
      <c r="F252" s="84"/>
      <c r="G252" s="84"/>
    </row>
    <row r="253" spans="4:7">
      <c r="D253" s="84"/>
      <c r="E253" s="84"/>
      <c r="F253" s="84"/>
      <c r="G253" s="84"/>
    </row>
    <row r="254" spans="4:7">
      <c r="D254" s="84"/>
      <c r="E254" s="84"/>
      <c r="F254" s="84"/>
      <c r="G254" s="84"/>
    </row>
    <row r="255" spans="4:7">
      <c r="D255" s="84"/>
      <c r="E255" s="84"/>
      <c r="F255" s="84"/>
      <c r="G255" s="84"/>
    </row>
    <row r="256" spans="4:7">
      <c r="D256" s="84"/>
      <c r="E256" s="84"/>
      <c r="F256" s="84"/>
      <c r="G256" s="84"/>
    </row>
    <row r="257" spans="4:7">
      <c r="D257" s="84"/>
      <c r="E257" s="84"/>
      <c r="F257" s="84"/>
      <c r="G257" s="84"/>
    </row>
    <row r="258" spans="4:7">
      <c r="D258" s="84"/>
      <c r="E258" s="84"/>
      <c r="F258" s="84"/>
      <c r="G258" s="84"/>
    </row>
    <row r="259" spans="4:7">
      <c r="D259" s="84"/>
      <c r="E259" s="84"/>
      <c r="F259" s="84"/>
      <c r="G259" s="84"/>
    </row>
    <row r="260" spans="4:7">
      <c r="D260" s="84"/>
      <c r="E260" s="84"/>
      <c r="F260" s="84"/>
      <c r="G260" s="84"/>
    </row>
    <row r="261" spans="4:7">
      <c r="D261" s="84"/>
      <c r="E261" s="84"/>
      <c r="F261" s="84"/>
      <c r="G261" s="84"/>
    </row>
    <row r="262" spans="4:7">
      <c r="D262" s="84"/>
      <c r="E262" s="84"/>
      <c r="F262" s="84"/>
      <c r="G262" s="84"/>
    </row>
    <row r="263" spans="4:7">
      <c r="D263" s="84"/>
      <c r="E263" s="84"/>
      <c r="F263" s="84"/>
      <c r="G263" s="84"/>
    </row>
    <row r="264" spans="4:7">
      <c r="D264" s="84"/>
      <c r="E264" s="84"/>
      <c r="F264" s="84"/>
      <c r="G264" s="84"/>
    </row>
    <row r="265" spans="4:7">
      <c r="D265" s="84"/>
      <c r="E265" s="84"/>
      <c r="F265" s="84"/>
      <c r="G265" s="84"/>
    </row>
    <row r="266" spans="4:7">
      <c r="D266" s="84"/>
      <c r="E266" s="84"/>
      <c r="F266" s="84"/>
      <c r="G266" s="84"/>
    </row>
    <row r="267" spans="4:7">
      <c r="D267" s="84"/>
      <c r="E267" s="84"/>
      <c r="F267" s="84"/>
      <c r="G267" s="84"/>
    </row>
    <row r="268" spans="4:7">
      <c r="D268" s="84"/>
      <c r="E268" s="84"/>
      <c r="F268" s="84"/>
      <c r="G268" s="84"/>
    </row>
    <row r="269" spans="4:7">
      <c r="D269" s="84"/>
      <c r="E269" s="84"/>
      <c r="F269" s="84"/>
      <c r="G269" s="84"/>
    </row>
    <row r="270" spans="4:7">
      <c r="D270" s="84"/>
      <c r="E270" s="84"/>
      <c r="F270" s="84"/>
      <c r="G270" s="84"/>
    </row>
    <row r="271" spans="4:7">
      <c r="D271" s="84"/>
      <c r="E271" s="84"/>
      <c r="F271" s="84"/>
      <c r="G271" s="84"/>
    </row>
    <row r="272" spans="4:7">
      <c r="D272" s="84"/>
      <c r="E272" s="84"/>
      <c r="F272" s="84"/>
      <c r="G272" s="84"/>
    </row>
    <row r="273" spans="4:7">
      <c r="D273" s="84"/>
      <c r="E273" s="84"/>
      <c r="F273" s="84"/>
      <c r="G273" s="84"/>
    </row>
    <row r="274" spans="4:7">
      <c r="D274" s="84"/>
      <c r="E274" s="84"/>
      <c r="F274" s="84"/>
      <c r="G274" s="84"/>
    </row>
    <row r="275" spans="4:7">
      <c r="D275" s="84"/>
      <c r="E275" s="84"/>
      <c r="F275" s="84"/>
      <c r="G275" s="84"/>
    </row>
    <row r="276" spans="4:7">
      <c r="D276" s="84"/>
      <c r="E276" s="84"/>
      <c r="F276" s="84"/>
      <c r="G276" s="84"/>
    </row>
    <row r="277" spans="4:7">
      <c r="D277" s="84"/>
      <c r="E277" s="84"/>
      <c r="F277" s="84"/>
      <c r="G277" s="84"/>
    </row>
    <row r="278" spans="4:7">
      <c r="D278" s="84"/>
      <c r="E278" s="84"/>
      <c r="F278" s="84"/>
      <c r="G278" s="84"/>
    </row>
    <row r="279" spans="4:7">
      <c r="D279" s="84"/>
      <c r="E279" s="84"/>
      <c r="F279" s="84"/>
      <c r="G279" s="84"/>
    </row>
    <row r="280" spans="4:7">
      <c r="D280" s="84"/>
      <c r="E280" s="84"/>
      <c r="F280" s="84"/>
      <c r="G280" s="84"/>
    </row>
    <row r="281" spans="4:7">
      <c r="D281" s="84"/>
      <c r="E281" s="84"/>
      <c r="F281" s="84"/>
      <c r="G281" s="84"/>
    </row>
    <row r="282" spans="4:7">
      <c r="D282" s="84"/>
      <c r="E282" s="84"/>
      <c r="F282" s="84"/>
      <c r="G282" s="84"/>
    </row>
    <row r="283" spans="4:7">
      <c r="D283" s="84"/>
      <c r="E283" s="84"/>
      <c r="F283" s="84"/>
      <c r="G283" s="84"/>
    </row>
    <row r="284" spans="4:7">
      <c r="D284" s="84"/>
      <c r="E284" s="84"/>
      <c r="F284" s="84"/>
      <c r="G284" s="84"/>
    </row>
    <row r="285" spans="4:7">
      <c r="D285" s="84"/>
      <c r="E285" s="84"/>
      <c r="F285" s="84"/>
      <c r="G285" s="84"/>
    </row>
    <row r="286" spans="4:7">
      <c r="D286" s="84"/>
      <c r="E286" s="84"/>
      <c r="F286" s="84"/>
      <c r="G286" s="84"/>
    </row>
    <row r="287" spans="4:7">
      <c r="D287" s="84"/>
      <c r="E287" s="84"/>
      <c r="F287" s="84"/>
      <c r="G287" s="84"/>
    </row>
    <row r="288" spans="4:7">
      <c r="D288" s="84"/>
      <c r="E288" s="84"/>
      <c r="F288" s="84"/>
      <c r="G288" s="84"/>
    </row>
    <row r="289" spans="4:7">
      <c r="D289" s="84"/>
      <c r="E289" s="84"/>
      <c r="F289" s="84"/>
      <c r="G289" s="84"/>
    </row>
    <row r="290" spans="4:7">
      <c r="D290" s="84"/>
      <c r="E290" s="84"/>
      <c r="F290" s="84"/>
      <c r="G290" s="84"/>
    </row>
    <row r="291" spans="4:7">
      <c r="D291" s="84"/>
      <c r="E291" s="84"/>
      <c r="F291" s="84"/>
      <c r="G291" s="84"/>
    </row>
    <row r="292" spans="4:7">
      <c r="D292" s="84"/>
      <c r="E292" s="84"/>
      <c r="F292" s="84"/>
      <c r="G292" s="84"/>
    </row>
    <row r="293" spans="4:7">
      <c r="D293" s="84"/>
      <c r="E293" s="84"/>
      <c r="F293" s="84"/>
      <c r="G293" s="84"/>
    </row>
    <row r="294" spans="4:7">
      <c r="D294" s="84"/>
      <c r="E294" s="84"/>
      <c r="F294" s="84"/>
      <c r="G294" s="84"/>
    </row>
    <row r="295" spans="4:7">
      <c r="D295" s="84"/>
      <c r="E295" s="84"/>
      <c r="F295" s="84"/>
      <c r="G295" s="84"/>
    </row>
    <row r="296" spans="4:7">
      <c r="D296" s="84"/>
      <c r="E296" s="84"/>
      <c r="F296" s="84"/>
      <c r="G296" s="84"/>
    </row>
    <row r="297" spans="4:7">
      <c r="D297" s="84"/>
      <c r="E297" s="84"/>
      <c r="F297" s="84"/>
      <c r="G297" s="84"/>
    </row>
    <row r="298" spans="4:7">
      <c r="D298" s="84"/>
      <c r="E298" s="84"/>
      <c r="F298" s="84"/>
      <c r="G298" s="84"/>
    </row>
    <row r="299" spans="4:7">
      <c r="D299" s="84"/>
      <c r="E299" s="84"/>
      <c r="F299" s="84"/>
      <c r="G299" s="84"/>
    </row>
    <row r="300" spans="4:7">
      <c r="D300" s="84"/>
      <c r="E300" s="84"/>
      <c r="F300" s="84"/>
      <c r="G300" s="84"/>
    </row>
    <row r="301" spans="4:7">
      <c r="D301" s="84"/>
      <c r="E301" s="84"/>
      <c r="F301" s="84"/>
      <c r="G301" s="84"/>
    </row>
    <row r="302" spans="4:7">
      <c r="D302" s="84"/>
      <c r="E302" s="84"/>
      <c r="F302" s="84"/>
      <c r="G302" s="84"/>
    </row>
    <row r="303" spans="4:7">
      <c r="D303" s="84"/>
      <c r="E303" s="84"/>
      <c r="F303" s="84"/>
      <c r="G303" s="84"/>
    </row>
    <row r="304" spans="4:7">
      <c r="D304" s="84"/>
      <c r="E304" s="84"/>
      <c r="F304" s="84"/>
      <c r="G304" s="84"/>
    </row>
    <row r="305" spans="4:7">
      <c r="D305" s="84"/>
      <c r="E305" s="84"/>
      <c r="F305" s="84"/>
      <c r="G305" s="84"/>
    </row>
    <row r="306" spans="4:7">
      <c r="D306" s="84"/>
      <c r="E306" s="84"/>
      <c r="F306" s="84"/>
      <c r="G306" s="84"/>
    </row>
    <row r="307" spans="4:7">
      <c r="D307" s="84"/>
      <c r="E307" s="84"/>
      <c r="F307" s="84"/>
      <c r="G307" s="84"/>
    </row>
    <row r="308" spans="4:7">
      <c r="D308" s="84"/>
      <c r="E308" s="84"/>
      <c r="F308" s="84"/>
      <c r="G308" s="84"/>
    </row>
    <row r="309" spans="4:7">
      <c r="D309" s="84"/>
      <c r="E309" s="84"/>
      <c r="F309" s="84"/>
      <c r="G309" s="84"/>
    </row>
    <row r="310" spans="4:7">
      <c r="D310" s="84"/>
      <c r="E310" s="84"/>
      <c r="F310" s="84"/>
      <c r="G310" s="84"/>
    </row>
    <row r="311" spans="4:7">
      <c r="D311" s="84"/>
      <c r="E311" s="84"/>
      <c r="F311" s="84"/>
      <c r="G311" s="84"/>
    </row>
    <row r="312" spans="4:7">
      <c r="D312" s="84"/>
      <c r="E312" s="84"/>
      <c r="F312" s="84"/>
      <c r="G312" s="84"/>
    </row>
    <row r="313" spans="4:7">
      <c r="D313" s="84"/>
      <c r="E313" s="84"/>
      <c r="F313" s="84"/>
      <c r="G313" s="84"/>
    </row>
    <row r="314" spans="4:7">
      <c r="D314" s="84"/>
      <c r="E314" s="84"/>
      <c r="F314" s="84"/>
      <c r="G314" s="84"/>
    </row>
    <row r="315" spans="4:7">
      <c r="D315" s="84"/>
      <c r="E315" s="84"/>
      <c r="F315" s="84"/>
      <c r="G315" s="84"/>
    </row>
    <row r="316" spans="4:7">
      <c r="D316" s="84"/>
      <c r="E316" s="84"/>
      <c r="F316" s="84"/>
      <c r="G316" s="84"/>
    </row>
    <row r="317" spans="4:7">
      <c r="D317" s="84"/>
      <c r="E317" s="84"/>
      <c r="F317" s="84"/>
      <c r="G317" s="84"/>
    </row>
    <row r="318" spans="4:7">
      <c r="D318" s="84"/>
      <c r="E318" s="84"/>
      <c r="F318" s="84"/>
      <c r="G318" s="84"/>
    </row>
    <row r="319" spans="4:7">
      <c r="D319" s="84"/>
      <c r="E319" s="84"/>
      <c r="F319" s="84"/>
      <c r="G319" s="84"/>
    </row>
    <row r="320" spans="4:7">
      <c r="D320" s="84"/>
      <c r="E320" s="84"/>
      <c r="F320" s="84"/>
      <c r="G320" s="84"/>
    </row>
    <row r="321" spans="4:7">
      <c r="D321" s="84"/>
      <c r="E321" s="84"/>
      <c r="F321" s="84"/>
      <c r="G321" s="84"/>
    </row>
    <row r="322" spans="4:7">
      <c r="D322" s="84"/>
      <c r="E322" s="84"/>
      <c r="F322" s="84"/>
      <c r="G322" s="84"/>
    </row>
    <row r="323" spans="4:7">
      <c r="D323" s="84"/>
      <c r="E323" s="84"/>
      <c r="F323" s="84"/>
      <c r="G323" s="84"/>
    </row>
    <row r="324" spans="4:7">
      <c r="D324" s="84"/>
      <c r="E324" s="84"/>
      <c r="F324" s="84"/>
      <c r="G324" s="84"/>
    </row>
    <row r="325" spans="4:7">
      <c r="D325" s="84"/>
      <c r="E325" s="84"/>
      <c r="F325" s="84"/>
      <c r="G325" s="84"/>
    </row>
    <row r="326" spans="4:7">
      <c r="D326" s="84"/>
      <c r="E326" s="84"/>
      <c r="F326" s="84"/>
      <c r="G326" s="84"/>
    </row>
    <row r="327" spans="4:7">
      <c r="D327" s="84"/>
      <c r="E327" s="84"/>
      <c r="F327" s="84"/>
      <c r="G327" s="84"/>
    </row>
    <row r="328" spans="4:7">
      <c r="D328" s="84"/>
      <c r="E328" s="84"/>
      <c r="F328" s="84"/>
      <c r="G328" s="84"/>
    </row>
    <row r="329" spans="4:7">
      <c r="D329" s="84"/>
      <c r="E329" s="84"/>
      <c r="F329" s="84"/>
      <c r="G329" s="84"/>
    </row>
    <row r="330" spans="4:7">
      <c r="D330" s="84"/>
      <c r="E330" s="84"/>
      <c r="F330" s="84"/>
      <c r="G330" s="84"/>
    </row>
    <row r="331" spans="4:7">
      <c r="D331" s="84"/>
      <c r="E331" s="84"/>
      <c r="F331" s="84"/>
      <c r="G331" s="84"/>
    </row>
    <row r="332" spans="4:7">
      <c r="D332" s="84"/>
      <c r="E332" s="84"/>
      <c r="F332" s="84"/>
      <c r="G332" s="84"/>
    </row>
    <row r="333" spans="4:7">
      <c r="D333" s="84"/>
      <c r="E333" s="84"/>
      <c r="F333" s="84"/>
      <c r="G333" s="84"/>
    </row>
    <row r="334" spans="4:7">
      <c r="D334" s="84"/>
      <c r="E334" s="84"/>
      <c r="F334" s="84"/>
      <c r="G334" s="84"/>
    </row>
    <row r="335" spans="4:7">
      <c r="D335" s="84"/>
      <c r="E335" s="84"/>
      <c r="F335" s="84"/>
      <c r="G335" s="84"/>
    </row>
    <row r="336" spans="4:7">
      <c r="D336" s="84"/>
      <c r="E336" s="84"/>
      <c r="F336" s="84"/>
      <c r="G336" s="84"/>
    </row>
    <row r="337" spans="4:7">
      <c r="D337" s="84"/>
      <c r="E337" s="84"/>
      <c r="F337" s="84"/>
      <c r="G337" s="84"/>
    </row>
    <row r="338" spans="4:7">
      <c r="D338" s="84"/>
      <c r="E338" s="84"/>
      <c r="F338" s="84"/>
      <c r="G338" s="84"/>
    </row>
    <row r="339" spans="4:7">
      <c r="D339" s="84"/>
      <c r="E339" s="84"/>
      <c r="F339" s="84"/>
      <c r="G339" s="84"/>
    </row>
    <row r="340" spans="4:7">
      <c r="D340" s="84"/>
      <c r="E340" s="84"/>
      <c r="F340" s="84"/>
      <c r="G340" s="84"/>
    </row>
    <row r="341" spans="4:7">
      <c r="D341" s="84"/>
      <c r="E341" s="84"/>
      <c r="F341" s="84"/>
      <c r="G341" s="84"/>
    </row>
    <row r="342" spans="4:7">
      <c r="D342" s="84"/>
      <c r="E342" s="84"/>
      <c r="F342" s="84"/>
      <c r="G342" s="84"/>
    </row>
    <row r="343" spans="4:7">
      <c r="D343" s="84"/>
      <c r="E343" s="84"/>
      <c r="F343" s="84"/>
      <c r="G343" s="84"/>
    </row>
    <row r="344" spans="4:7">
      <c r="D344" s="84"/>
      <c r="E344" s="84"/>
      <c r="F344" s="84"/>
      <c r="G344" s="84"/>
    </row>
    <row r="345" spans="4:7">
      <c r="D345" s="84"/>
      <c r="E345" s="84"/>
      <c r="F345" s="84"/>
      <c r="G345" s="84"/>
    </row>
    <row r="346" spans="4:7">
      <c r="D346" s="84"/>
      <c r="E346" s="84"/>
      <c r="F346" s="84"/>
      <c r="G346" s="84"/>
    </row>
    <row r="347" spans="4:7">
      <c r="D347" s="84"/>
      <c r="E347" s="84"/>
      <c r="F347" s="84"/>
      <c r="G347" s="84"/>
    </row>
    <row r="348" spans="4:7">
      <c r="D348" s="84"/>
      <c r="E348" s="84"/>
      <c r="F348" s="84"/>
      <c r="G348" s="84"/>
    </row>
    <row r="349" spans="4:7">
      <c r="D349" s="84"/>
      <c r="E349" s="84"/>
      <c r="F349" s="84"/>
      <c r="G349" s="84"/>
    </row>
    <row r="350" spans="4:7">
      <c r="D350" s="84"/>
      <c r="E350" s="84"/>
      <c r="F350" s="84"/>
      <c r="G350" s="84"/>
    </row>
    <row r="351" spans="4:7">
      <c r="D351" s="84"/>
      <c r="E351" s="84"/>
      <c r="F351" s="84"/>
      <c r="G351" s="84"/>
    </row>
    <row r="352" spans="4:7">
      <c r="D352" s="84"/>
      <c r="E352" s="84"/>
      <c r="F352" s="84"/>
      <c r="G352" s="84"/>
    </row>
    <row r="353" spans="4:7">
      <c r="D353" s="84"/>
      <c r="E353" s="84"/>
      <c r="F353" s="84"/>
      <c r="G353" s="84"/>
    </row>
    <row r="354" spans="4:7">
      <c r="D354" s="84"/>
      <c r="E354" s="84"/>
      <c r="F354" s="84"/>
      <c r="G354" s="84"/>
    </row>
    <row r="355" spans="4:7">
      <c r="D355" s="84"/>
      <c r="E355" s="84"/>
      <c r="F355" s="84"/>
      <c r="G355" s="84"/>
    </row>
    <row r="356" spans="4:7">
      <c r="D356" s="84"/>
      <c r="E356" s="84"/>
      <c r="F356" s="84"/>
      <c r="G356" s="84"/>
    </row>
    <row r="357" spans="4:7">
      <c r="D357" s="84"/>
      <c r="E357" s="84"/>
      <c r="F357" s="84"/>
      <c r="G357" s="84"/>
    </row>
    <row r="358" spans="4:7">
      <c r="D358" s="84"/>
      <c r="E358" s="84"/>
      <c r="F358" s="84"/>
      <c r="G358" s="84"/>
    </row>
    <row r="359" spans="4:7">
      <c r="D359" s="84"/>
      <c r="E359" s="84"/>
      <c r="F359" s="84"/>
      <c r="G359" s="84"/>
    </row>
    <row r="360" spans="4:7">
      <c r="D360" s="84"/>
      <c r="E360" s="84"/>
      <c r="F360" s="84"/>
      <c r="G360" s="84"/>
    </row>
    <row r="361" spans="4:7">
      <c r="D361" s="84"/>
      <c r="E361" s="84"/>
      <c r="F361" s="84"/>
      <c r="G361" s="84"/>
    </row>
    <row r="362" spans="4:7">
      <c r="D362" s="84"/>
      <c r="E362" s="84"/>
      <c r="F362" s="84"/>
      <c r="G362" s="84"/>
    </row>
    <row r="363" spans="4:7">
      <c r="D363" s="84"/>
      <c r="E363" s="84"/>
      <c r="F363" s="84"/>
      <c r="G363" s="84"/>
    </row>
    <row r="364" spans="4:7">
      <c r="D364" s="84"/>
      <c r="E364" s="84"/>
      <c r="F364" s="84"/>
      <c r="G364" s="84"/>
    </row>
    <row r="365" spans="4:7">
      <c r="D365" s="84"/>
      <c r="E365" s="84"/>
      <c r="F365" s="84"/>
      <c r="G365" s="84"/>
    </row>
    <row r="366" spans="4:7">
      <c r="D366" s="84"/>
      <c r="E366" s="84"/>
      <c r="F366" s="84"/>
      <c r="G366" s="84"/>
    </row>
    <row r="367" spans="4:7">
      <c r="D367" s="84"/>
      <c r="E367" s="84"/>
      <c r="F367" s="84"/>
      <c r="G367" s="84"/>
    </row>
    <row r="368" spans="4:7">
      <c r="D368" s="84"/>
      <c r="E368" s="84"/>
      <c r="F368" s="84"/>
      <c r="G368" s="84"/>
    </row>
    <row r="369" spans="4:7">
      <c r="D369" s="84"/>
      <c r="E369" s="84"/>
      <c r="F369" s="84"/>
      <c r="G369" s="84"/>
    </row>
    <row r="370" spans="4:7">
      <c r="D370" s="84"/>
      <c r="E370" s="84"/>
      <c r="F370" s="84"/>
      <c r="G370" s="84"/>
    </row>
    <row r="371" spans="4:7">
      <c r="D371" s="84"/>
      <c r="E371" s="84"/>
      <c r="F371" s="84"/>
      <c r="G371" s="84"/>
    </row>
    <row r="372" spans="4:7">
      <c r="D372" s="84"/>
      <c r="E372" s="84"/>
      <c r="F372" s="84"/>
      <c r="G372" s="84"/>
    </row>
    <row r="373" spans="4:7">
      <c r="D373" s="84"/>
      <c r="E373" s="84"/>
      <c r="F373" s="84"/>
      <c r="G373" s="84"/>
    </row>
    <row r="374" spans="4:7">
      <c r="D374" s="84"/>
      <c r="E374" s="84"/>
      <c r="F374" s="84"/>
      <c r="G374" s="84"/>
    </row>
    <row r="375" spans="4:7">
      <c r="D375" s="84"/>
      <c r="E375" s="84"/>
      <c r="F375" s="84"/>
      <c r="G375" s="84"/>
    </row>
    <row r="376" spans="4:7">
      <c r="D376" s="84"/>
      <c r="E376" s="84"/>
      <c r="F376" s="84"/>
      <c r="G376" s="84"/>
    </row>
    <row r="377" spans="4:7">
      <c r="D377" s="84"/>
      <c r="E377" s="84"/>
      <c r="F377" s="84"/>
      <c r="G377" s="84"/>
    </row>
    <row r="378" spans="4:7">
      <c r="D378" s="84"/>
      <c r="E378" s="84"/>
      <c r="F378" s="84"/>
      <c r="G378" s="84"/>
    </row>
    <row r="379" spans="4:7">
      <c r="D379" s="84"/>
      <c r="E379" s="84"/>
      <c r="F379" s="84"/>
      <c r="G379" s="84"/>
    </row>
    <row r="380" spans="4:7">
      <c r="D380" s="84"/>
      <c r="E380" s="84"/>
      <c r="F380" s="84"/>
      <c r="G380" s="84"/>
    </row>
    <row r="381" spans="4:7">
      <c r="D381" s="84"/>
      <c r="E381" s="84"/>
      <c r="F381" s="84"/>
      <c r="G381" s="84"/>
    </row>
    <row r="382" spans="4:7">
      <c r="D382" s="84"/>
      <c r="E382" s="84"/>
      <c r="F382" s="84"/>
      <c r="G382" s="84"/>
    </row>
    <row r="383" spans="4:7">
      <c r="D383" s="84"/>
      <c r="E383" s="84"/>
      <c r="F383" s="84"/>
      <c r="G383" s="84"/>
    </row>
    <row r="384" spans="4:7">
      <c r="D384" s="84"/>
      <c r="E384" s="84"/>
      <c r="F384" s="84"/>
      <c r="G384" s="84"/>
    </row>
    <row r="385" spans="4:7">
      <c r="D385" s="84"/>
      <c r="E385" s="84"/>
      <c r="F385" s="84"/>
      <c r="G385" s="84"/>
    </row>
    <row r="386" spans="4:7">
      <c r="D386" s="84"/>
      <c r="E386" s="84"/>
      <c r="F386" s="84"/>
      <c r="G386" s="84"/>
    </row>
    <row r="387" spans="4:7">
      <c r="D387" s="84"/>
      <c r="E387" s="84"/>
      <c r="F387" s="84"/>
      <c r="G387" s="84"/>
    </row>
    <row r="388" spans="4:7">
      <c r="D388" s="84"/>
      <c r="E388" s="84"/>
      <c r="F388" s="84"/>
      <c r="G388" s="84"/>
    </row>
    <row r="389" spans="4:7">
      <c r="D389" s="84"/>
      <c r="E389" s="84"/>
      <c r="F389" s="84"/>
      <c r="G389" s="84"/>
    </row>
    <row r="390" spans="4:7">
      <c r="D390" s="84"/>
      <c r="E390" s="84"/>
      <c r="F390" s="84"/>
      <c r="G390" s="84"/>
    </row>
    <row r="391" spans="4:7">
      <c r="D391" s="84"/>
      <c r="E391" s="84"/>
      <c r="F391" s="84"/>
      <c r="G391" s="84"/>
    </row>
    <row r="392" spans="4:7">
      <c r="D392" s="84"/>
      <c r="E392" s="84"/>
      <c r="F392" s="84"/>
      <c r="G392" s="84"/>
    </row>
    <row r="393" spans="4:7">
      <c r="D393" s="84"/>
      <c r="E393" s="84"/>
      <c r="F393" s="84"/>
      <c r="G393" s="84"/>
    </row>
    <row r="394" spans="4:7">
      <c r="D394" s="84"/>
      <c r="E394" s="84"/>
      <c r="F394" s="84"/>
      <c r="G394" s="84"/>
    </row>
    <row r="395" spans="4:7">
      <c r="D395" s="84"/>
      <c r="E395" s="84"/>
      <c r="F395" s="84"/>
      <c r="G395" s="84"/>
    </row>
    <row r="396" spans="4:7">
      <c r="D396" s="84"/>
      <c r="E396" s="84"/>
      <c r="F396" s="84"/>
      <c r="G396" s="84"/>
    </row>
    <row r="397" spans="4:7">
      <c r="D397" s="84"/>
      <c r="E397" s="84"/>
      <c r="F397" s="84"/>
      <c r="G397" s="84"/>
    </row>
    <row r="398" spans="4:7">
      <c r="D398" s="84"/>
      <c r="E398" s="84"/>
      <c r="F398" s="84"/>
      <c r="G398" s="84"/>
    </row>
    <row r="399" spans="4:7">
      <c r="D399" s="84"/>
      <c r="E399" s="84"/>
      <c r="F399" s="84"/>
      <c r="G399" s="84"/>
    </row>
    <row r="400" spans="4:7">
      <c r="D400" s="84"/>
      <c r="E400" s="84"/>
      <c r="F400" s="84"/>
      <c r="G400" s="84"/>
    </row>
    <row r="401" spans="4:7">
      <c r="D401" s="84"/>
      <c r="E401" s="84"/>
      <c r="F401" s="84"/>
      <c r="G401" s="84"/>
    </row>
    <row r="402" spans="4:7">
      <c r="D402" s="84"/>
      <c r="E402" s="84"/>
      <c r="F402" s="84"/>
      <c r="G402" s="84"/>
    </row>
    <row r="403" spans="4:7">
      <c r="D403" s="84"/>
      <c r="E403" s="84"/>
      <c r="F403" s="84"/>
      <c r="G403" s="84"/>
    </row>
    <row r="404" spans="4:7">
      <c r="D404" s="84"/>
      <c r="E404" s="84"/>
      <c r="F404" s="84"/>
      <c r="G404" s="84"/>
    </row>
    <row r="405" spans="4:7">
      <c r="D405" s="84"/>
      <c r="E405" s="84"/>
      <c r="F405" s="84"/>
      <c r="G405" s="84"/>
    </row>
    <row r="406" spans="4:7">
      <c r="D406" s="84"/>
      <c r="E406" s="84"/>
      <c r="F406" s="84"/>
      <c r="G406" s="84"/>
    </row>
    <row r="407" spans="4:7">
      <c r="D407" s="84"/>
      <c r="E407" s="84"/>
      <c r="F407" s="84"/>
      <c r="G407" s="84"/>
    </row>
    <row r="408" spans="4:7">
      <c r="D408" s="84"/>
      <c r="E408" s="84"/>
      <c r="F408" s="84"/>
      <c r="G408" s="84"/>
    </row>
    <row r="409" spans="4:7">
      <c r="D409" s="84"/>
      <c r="E409" s="84"/>
      <c r="F409" s="84"/>
      <c r="G409" s="84"/>
    </row>
    <row r="410" spans="4:7">
      <c r="D410" s="84"/>
      <c r="E410" s="84"/>
      <c r="F410" s="84"/>
      <c r="G410" s="84"/>
    </row>
    <row r="411" spans="4:7">
      <c r="D411" s="84"/>
      <c r="E411" s="84"/>
      <c r="F411" s="84"/>
      <c r="G411" s="84"/>
    </row>
    <row r="412" spans="4:7">
      <c r="D412" s="84"/>
      <c r="E412" s="84"/>
      <c r="F412" s="84"/>
      <c r="G412" s="84"/>
    </row>
    <row r="413" spans="4:7">
      <c r="D413" s="84"/>
      <c r="E413" s="84"/>
      <c r="F413" s="84"/>
      <c r="G413" s="84"/>
    </row>
    <row r="414" spans="4:7">
      <c r="D414" s="84"/>
      <c r="E414" s="84"/>
      <c r="F414" s="84"/>
      <c r="G414" s="84"/>
    </row>
    <row r="415" spans="4:7">
      <c r="D415" s="84"/>
      <c r="E415" s="84"/>
      <c r="F415" s="84"/>
      <c r="G415" s="84"/>
    </row>
    <row r="416" spans="4:7">
      <c r="D416" s="84"/>
      <c r="E416" s="84"/>
      <c r="F416" s="84"/>
      <c r="G416" s="84"/>
    </row>
    <row r="417" spans="4:7">
      <c r="D417" s="84"/>
      <c r="E417" s="84"/>
      <c r="F417" s="84"/>
      <c r="G417" s="84"/>
    </row>
    <row r="418" spans="4:7">
      <c r="D418" s="84"/>
      <c r="E418" s="84"/>
      <c r="F418" s="84"/>
      <c r="G418" s="84"/>
    </row>
    <row r="419" spans="4:7">
      <c r="D419" s="84"/>
      <c r="E419" s="84"/>
      <c r="F419" s="84"/>
      <c r="G419" s="84"/>
    </row>
    <row r="420" spans="4:7">
      <c r="D420" s="84"/>
      <c r="E420" s="84"/>
      <c r="F420" s="84"/>
      <c r="G420" s="84"/>
    </row>
    <row r="421" spans="4:7">
      <c r="D421" s="84"/>
      <c r="E421" s="84"/>
      <c r="F421" s="84"/>
      <c r="G421" s="84"/>
    </row>
    <row r="422" spans="4:7">
      <c r="D422" s="84"/>
      <c r="E422" s="84"/>
      <c r="F422" s="84"/>
      <c r="G422" s="84"/>
    </row>
    <row r="423" spans="4:7">
      <c r="D423" s="84"/>
      <c r="E423" s="84"/>
      <c r="F423" s="84"/>
      <c r="G423" s="84"/>
    </row>
    <row r="424" spans="4:7">
      <c r="D424" s="84"/>
      <c r="E424" s="84"/>
      <c r="F424" s="84"/>
      <c r="G424" s="84"/>
    </row>
    <row r="425" spans="4:7">
      <c r="D425" s="84"/>
      <c r="E425" s="84"/>
      <c r="F425" s="84"/>
      <c r="G425" s="84"/>
    </row>
    <row r="426" spans="4:7">
      <c r="D426" s="84"/>
      <c r="E426" s="84"/>
      <c r="F426" s="84"/>
      <c r="G426" s="84"/>
    </row>
    <row r="427" spans="4:7">
      <c r="D427" s="84"/>
      <c r="E427" s="84"/>
      <c r="F427" s="84"/>
      <c r="G427" s="84"/>
    </row>
    <row r="428" spans="4:7">
      <c r="D428" s="84"/>
      <c r="E428" s="84"/>
      <c r="F428" s="84"/>
      <c r="G428" s="84"/>
    </row>
    <row r="429" spans="4:7">
      <c r="D429" s="84"/>
      <c r="E429" s="84"/>
      <c r="F429" s="84"/>
      <c r="G429" s="84"/>
    </row>
    <row r="430" spans="4:7">
      <c r="D430" s="84"/>
      <c r="E430" s="84"/>
      <c r="F430" s="84"/>
      <c r="G430" s="84"/>
    </row>
    <row r="431" spans="4:7">
      <c r="D431" s="84"/>
      <c r="E431" s="84"/>
      <c r="F431" s="84"/>
      <c r="G431" s="84"/>
    </row>
    <row r="432" spans="4:7">
      <c r="D432" s="84"/>
      <c r="E432" s="84"/>
      <c r="F432" s="84"/>
      <c r="G432" s="84"/>
    </row>
    <row r="433" spans="4:7">
      <c r="D433" s="84"/>
      <c r="E433" s="84"/>
      <c r="F433" s="84"/>
      <c r="G433" s="84"/>
    </row>
    <row r="434" spans="4:7">
      <c r="D434" s="84"/>
      <c r="E434" s="84"/>
      <c r="F434" s="84"/>
      <c r="G434" s="84"/>
    </row>
    <row r="435" spans="4:7">
      <c r="D435" s="84"/>
      <c r="E435" s="84"/>
      <c r="F435" s="84"/>
      <c r="G435" s="84"/>
    </row>
    <row r="436" spans="4:7">
      <c r="D436" s="84"/>
      <c r="E436" s="84"/>
      <c r="F436" s="84"/>
      <c r="G436" s="84"/>
    </row>
    <row r="437" spans="4:7">
      <c r="D437" s="84"/>
      <c r="E437" s="84"/>
      <c r="F437" s="84"/>
      <c r="G437" s="84"/>
    </row>
    <row r="438" spans="4:7">
      <c r="D438" s="84"/>
      <c r="E438" s="84"/>
      <c r="F438" s="84"/>
      <c r="G438" s="84"/>
    </row>
    <row r="439" spans="4:7">
      <c r="D439" s="84"/>
      <c r="E439" s="84"/>
      <c r="F439" s="84"/>
      <c r="G439" s="84"/>
    </row>
    <row r="440" spans="4:7">
      <c r="D440" s="84"/>
      <c r="E440" s="84"/>
      <c r="F440" s="84"/>
      <c r="G440" s="84"/>
    </row>
  </sheetData>
  <mergeCells count="3">
    <mergeCell ref="A5:G5"/>
    <mergeCell ref="A6:G6"/>
    <mergeCell ref="A4:G4"/>
  </mergeCells>
  <phoneticPr fontId="5" type="noConversion"/>
  <pageMargins left="0.75" right="0.75" top="1" bottom="1" header="0.5" footer="0.5"/>
  <pageSetup scale="8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17"/>
    <pageSetUpPr fitToPage="1"/>
  </sheetPr>
  <dimension ref="A1:P348"/>
  <sheetViews>
    <sheetView zoomScale="85" zoomScaleNormal="85" workbookViewId="0">
      <selection activeCell="K44" sqref="K44"/>
    </sheetView>
  </sheetViews>
  <sheetFormatPr defaultRowHeight="12.75"/>
  <cols>
    <col min="1" max="1" width="6.140625" bestFit="1" customWidth="1"/>
    <col min="2" max="2" width="10" bestFit="1" customWidth="1"/>
    <col min="3" max="3" width="49.42578125" bestFit="1" customWidth="1"/>
    <col min="4" max="4" width="11.28515625" style="16" bestFit="1" customWidth="1"/>
    <col min="5" max="5" width="13.140625" customWidth="1"/>
    <col min="6" max="6" width="15.28515625" style="5" bestFit="1" customWidth="1"/>
    <col min="7" max="7" width="20.7109375" bestFit="1" customWidth="1"/>
    <col min="8" max="9" width="24.28515625" bestFit="1" customWidth="1"/>
    <col min="10" max="10" width="23.85546875" bestFit="1" customWidth="1"/>
    <col min="11" max="11" width="20.7109375" bestFit="1" customWidth="1"/>
  </cols>
  <sheetData>
    <row r="1" spans="1:11">
      <c r="J1" t="str">
        <f>A!D1</f>
        <v>Docket No. RP16-299-000</v>
      </c>
    </row>
    <row r="2" spans="1:11">
      <c r="J2" t="s">
        <v>591</v>
      </c>
    </row>
    <row r="3" spans="1:11">
      <c r="J3" t="s">
        <v>67</v>
      </c>
    </row>
    <row r="4" spans="1:11">
      <c r="A4" s="927" t="str">
        <f>+'Sched C-1'!A4:G4</f>
        <v>Tuscarora Gas Transmission Company</v>
      </c>
      <c r="B4" s="927"/>
      <c r="C4" s="927"/>
      <c r="D4" s="927"/>
      <c r="E4" s="927"/>
      <c r="F4" s="927"/>
      <c r="G4" s="927"/>
      <c r="H4" s="927"/>
      <c r="I4" s="927"/>
      <c r="J4" s="927"/>
      <c r="K4" s="927"/>
    </row>
    <row r="5" spans="1:11">
      <c r="A5" s="927" t="s">
        <v>434</v>
      </c>
      <c r="B5" s="927"/>
      <c r="C5" s="927"/>
      <c r="D5" s="927"/>
      <c r="E5" s="927"/>
      <c r="F5" s="927"/>
      <c r="G5" s="927"/>
      <c r="H5" s="927"/>
      <c r="I5" s="927"/>
      <c r="J5" s="927"/>
      <c r="K5" s="927"/>
    </row>
    <row r="6" spans="1:11">
      <c r="A6" s="927"/>
      <c r="B6" s="927"/>
      <c r="C6" s="927"/>
      <c r="D6" s="927"/>
    </row>
    <row r="7" spans="1:11">
      <c r="A7" s="181"/>
      <c r="B7" s="181"/>
      <c r="C7" s="181"/>
      <c r="D7" s="181"/>
      <c r="E7" s="82"/>
      <c r="F7" s="181"/>
      <c r="G7" s="181"/>
      <c r="H7" s="181"/>
      <c r="I7" s="181"/>
      <c r="J7" s="185"/>
      <c r="K7" s="181"/>
    </row>
    <row r="8" spans="1:11">
      <c r="A8" s="86"/>
      <c r="B8" s="86"/>
      <c r="C8" s="86"/>
      <c r="D8" s="87"/>
      <c r="E8" s="354"/>
      <c r="F8" s="86"/>
      <c r="G8" s="102" t="s">
        <v>764</v>
      </c>
      <c r="H8" s="211"/>
      <c r="I8" s="86"/>
      <c r="J8" s="168"/>
      <c r="K8" s="94" t="s">
        <v>827</v>
      </c>
    </row>
    <row r="9" spans="1:11">
      <c r="A9" s="94" t="s">
        <v>579</v>
      </c>
      <c r="B9" s="94" t="s">
        <v>579</v>
      </c>
      <c r="C9" s="86"/>
      <c r="D9" s="87"/>
      <c r="E9" s="86"/>
      <c r="F9" s="86"/>
      <c r="G9" s="168" t="s">
        <v>260</v>
      </c>
      <c r="H9" s="211"/>
      <c r="I9" s="94" t="s">
        <v>274</v>
      </c>
      <c r="J9" s="168"/>
      <c r="K9" s="622" t="s">
        <v>260</v>
      </c>
    </row>
    <row r="10" spans="1:11">
      <c r="A10" s="86" t="s">
        <v>352</v>
      </c>
      <c r="B10" s="86" t="s">
        <v>256</v>
      </c>
      <c r="C10" s="82"/>
      <c r="D10" s="14" t="s">
        <v>393</v>
      </c>
      <c r="E10" s="86" t="s">
        <v>258</v>
      </c>
      <c r="F10" s="86" t="s">
        <v>256</v>
      </c>
      <c r="G10" s="102" t="s">
        <v>203</v>
      </c>
      <c r="H10" s="212" t="s">
        <v>275</v>
      </c>
      <c r="I10" s="94" t="s">
        <v>196</v>
      </c>
      <c r="J10" s="168"/>
      <c r="K10" s="94" t="s">
        <v>203</v>
      </c>
    </row>
    <row r="11" spans="1:11">
      <c r="A11" s="89" t="s">
        <v>353</v>
      </c>
      <c r="B11" s="89" t="s">
        <v>257</v>
      </c>
      <c r="C11" s="89" t="s">
        <v>354</v>
      </c>
      <c r="D11" s="15" t="s">
        <v>321</v>
      </c>
      <c r="E11" s="115" t="s">
        <v>259</v>
      </c>
      <c r="F11" s="89" t="s">
        <v>261</v>
      </c>
      <c r="G11" s="213">
        <f>'Title Input and Macros'!B12</f>
        <v>42369</v>
      </c>
      <c r="H11" s="213" t="s">
        <v>771</v>
      </c>
      <c r="I11" s="213" t="s">
        <v>771</v>
      </c>
      <c r="J11" s="169" t="s">
        <v>401</v>
      </c>
      <c r="K11" s="166">
        <v>42551</v>
      </c>
    </row>
    <row r="12" spans="1:11">
      <c r="A12" s="82"/>
      <c r="B12" s="93"/>
      <c r="C12" s="86" t="s">
        <v>361</v>
      </c>
      <c r="D12" s="170" t="s">
        <v>362</v>
      </c>
      <c r="E12" s="86" t="s">
        <v>366</v>
      </c>
      <c r="F12" s="94" t="s">
        <v>363</v>
      </c>
      <c r="G12" s="168" t="s">
        <v>364</v>
      </c>
      <c r="H12" s="212" t="s">
        <v>379</v>
      </c>
      <c r="I12" s="94" t="s">
        <v>380</v>
      </c>
      <c r="J12" s="102" t="s">
        <v>403</v>
      </c>
      <c r="K12" s="94" t="s">
        <v>404</v>
      </c>
    </row>
    <row r="13" spans="1:11">
      <c r="A13" s="82"/>
      <c r="B13" s="93"/>
      <c r="C13" s="86"/>
      <c r="D13" s="87"/>
      <c r="E13" s="86"/>
      <c r="F13" s="82"/>
      <c r="G13" s="168"/>
      <c r="H13" s="211"/>
      <c r="I13" s="86"/>
      <c r="J13" s="171"/>
      <c r="K13" s="82"/>
    </row>
    <row r="14" spans="1:11">
      <c r="A14" s="82"/>
      <c r="B14" s="93"/>
      <c r="C14" s="113" t="s">
        <v>75</v>
      </c>
      <c r="D14" s="87"/>
      <c r="E14" s="86"/>
      <c r="F14" s="167" t="s">
        <v>365</v>
      </c>
      <c r="G14" s="168" t="s">
        <v>365</v>
      </c>
      <c r="H14" s="211" t="s">
        <v>365</v>
      </c>
      <c r="I14" s="167" t="s">
        <v>365</v>
      </c>
      <c r="J14" s="167" t="s">
        <v>365</v>
      </c>
      <c r="K14" s="167" t="s">
        <v>365</v>
      </c>
    </row>
    <row r="15" spans="1:11">
      <c r="A15" s="82">
        <v>1</v>
      </c>
      <c r="B15" s="499" t="s">
        <v>769</v>
      </c>
      <c r="C15" s="104" t="s">
        <v>770</v>
      </c>
      <c r="D15" s="87"/>
      <c r="E15" s="500">
        <v>42643</v>
      </c>
      <c r="F15" s="281">
        <v>940313.82</v>
      </c>
      <c r="G15" s="281">
        <v>277881</v>
      </c>
      <c r="H15" s="281">
        <v>227991</v>
      </c>
      <c r="I15" s="280">
        <v>0</v>
      </c>
      <c r="J15" s="280">
        <v>0</v>
      </c>
      <c r="K15" s="180">
        <f>G15+H15-I15+J15</f>
        <v>505872</v>
      </c>
    </row>
    <row r="16" spans="1:11">
      <c r="A16" s="82">
        <v>2</v>
      </c>
      <c r="B16" s="93"/>
      <c r="C16" s="121" t="s">
        <v>276</v>
      </c>
      <c r="D16" s="173"/>
      <c r="E16" s="164"/>
      <c r="F16" s="280">
        <v>0</v>
      </c>
      <c r="G16" s="280">
        <v>0</v>
      </c>
      <c r="H16" s="281">
        <v>74193</v>
      </c>
      <c r="I16" s="281">
        <v>69393</v>
      </c>
      <c r="J16" s="280">
        <v>0</v>
      </c>
      <c r="K16" s="180">
        <f>G16+H16-I16+J16</f>
        <v>4800</v>
      </c>
    </row>
    <row r="17" spans="1:11">
      <c r="A17" s="82">
        <f>A16+1</f>
        <v>3</v>
      </c>
      <c r="B17" s="93"/>
      <c r="C17" s="121" t="s">
        <v>277</v>
      </c>
      <c r="D17" s="87"/>
      <c r="E17" s="86"/>
      <c r="F17" s="280">
        <v>0</v>
      </c>
      <c r="G17" s="280">
        <v>0</v>
      </c>
      <c r="H17" s="281">
        <v>16312</v>
      </c>
      <c r="I17" s="281">
        <v>16312</v>
      </c>
      <c r="J17" s="280">
        <v>0</v>
      </c>
      <c r="K17" s="180">
        <f>G17+H17-I17+J17</f>
        <v>0</v>
      </c>
    </row>
    <row r="18" spans="1:11">
      <c r="A18" s="82">
        <f>A17+1</f>
        <v>4</v>
      </c>
      <c r="B18" s="93"/>
      <c r="C18" s="121" t="s">
        <v>278</v>
      </c>
      <c r="D18" s="87"/>
      <c r="E18" s="86"/>
      <c r="F18" s="280">
        <v>0</v>
      </c>
      <c r="G18" s="280">
        <v>0</v>
      </c>
      <c r="H18" s="281">
        <v>173</v>
      </c>
      <c r="I18" s="281">
        <v>173</v>
      </c>
      <c r="J18" s="280">
        <v>0</v>
      </c>
      <c r="K18" s="180">
        <f>G18+H18-I18+J18</f>
        <v>0</v>
      </c>
    </row>
    <row r="19" spans="1:11">
      <c r="A19" s="82">
        <f>A18+1</f>
        <v>5</v>
      </c>
      <c r="B19" s="93"/>
      <c r="C19" s="121" t="s">
        <v>279</v>
      </c>
      <c r="D19" s="87"/>
      <c r="E19" s="86"/>
      <c r="F19" s="280">
        <v>0</v>
      </c>
      <c r="G19" s="280">
        <v>0</v>
      </c>
      <c r="H19" s="281">
        <v>6825</v>
      </c>
      <c r="I19" s="281">
        <v>6825</v>
      </c>
      <c r="J19" s="280">
        <v>0</v>
      </c>
      <c r="K19" s="180">
        <f>G19+H19-I19+J19</f>
        <v>0</v>
      </c>
    </row>
    <row r="20" spans="1:11">
      <c r="A20" s="82">
        <f>A19+1</f>
        <v>6</v>
      </c>
      <c r="B20" s="174"/>
      <c r="C20" s="175" t="s">
        <v>598</v>
      </c>
      <c r="D20" s="176"/>
      <c r="E20" s="177"/>
      <c r="F20" s="222">
        <f t="shared" ref="F20:K20" si="0">SUM(F15:F19)</f>
        <v>940313.82</v>
      </c>
      <c r="G20" s="223">
        <f t="shared" si="0"/>
        <v>277881</v>
      </c>
      <c r="H20" s="223">
        <f t="shared" si="0"/>
        <v>325494</v>
      </c>
      <c r="I20" s="222">
        <f t="shared" si="0"/>
        <v>92703</v>
      </c>
      <c r="J20" s="884">
        <f t="shared" si="0"/>
        <v>0</v>
      </c>
      <c r="K20" s="222">
        <f t="shared" si="0"/>
        <v>510672</v>
      </c>
    </row>
    <row r="21" spans="1:11">
      <c r="A21" s="82"/>
      <c r="B21" s="93"/>
      <c r="C21" s="82"/>
      <c r="D21" s="87"/>
      <c r="E21" s="86"/>
      <c r="F21" s="167"/>
      <c r="G21" s="211"/>
      <c r="H21" s="211"/>
      <c r="I21" s="167"/>
      <c r="J21" s="885"/>
      <c r="K21" s="167"/>
    </row>
    <row r="22" spans="1:11">
      <c r="A22" s="82"/>
      <c r="B22" s="165"/>
      <c r="C22" s="173"/>
      <c r="D22" s="82"/>
      <c r="E22" s="164"/>
      <c r="F22" s="84"/>
      <c r="G22" s="179"/>
      <c r="H22" s="84"/>
      <c r="I22" s="84"/>
      <c r="J22" s="106"/>
      <c r="K22" s="5"/>
    </row>
    <row r="23" spans="1:11" ht="13.5" thickBot="1">
      <c r="A23" s="171">
        <v>11</v>
      </c>
      <c r="B23" s="181"/>
      <c r="C23" s="182" t="s">
        <v>356</v>
      </c>
      <c r="D23" s="181"/>
      <c r="E23" s="112"/>
      <c r="F23" s="80">
        <f>F20</f>
        <v>940313.82</v>
      </c>
      <c r="G23" s="80">
        <f>G20</f>
        <v>277881</v>
      </c>
      <c r="H23" s="80">
        <f t="shared" ref="H23:J23" si="1">H20</f>
        <v>325494</v>
      </c>
      <c r="I23" s="80">
        <f t="shared" si="1"/>
        <v>92703</v>
      </c>
      <c r="J23" s="109">
        <f t="shared" si="1"/>
        <v>0</v>
      </c>
      <c r="K23" s="80">
        <f>K20</f>
        <v>510672</v>
      </c>
    </row>
    <row r="24" spans="1:11" ht="13.5" thickTop="1">
      <c r="A24" s="171"/>
      <c r="B24" s="214"/>
      <c r="C24" s="215"/>
      <c r="D24" s="171"/>
      <c r="E24" s="164"/>
      <c r="F24" s="224"/>
      <c r="G24" s="224"/>
      <c r="H24" s="224"/>
      <c r="I24" s="224"/>
      <c r="J24" s="224"/>
      <c r="K24" s="224"/>
    </row>
    <row r="25" spans="1:11">
      <c r="A25" s="171"/>
      <c r="B25" s="214"/>
      <c r="C25" s="215"/>
      <c r="D25" s="171"/>
      <c r="E25" s="164"/>
      <c r="F25" s="225"/>
      <c r="G25" s="226"/>
      <c r="H25" s="225"/>
      <c r="I25" s="225"/>
      <c r="J25" s="203"/>
      <c r="K25" s="203"/>
    </row>
    <row r="26" spans="1:11">
      <c r="A26" s="171"/>
      <c r="B26" s="185"/>
      <c r="C26" s="218"/>
      <c r="D26" s="185"/>
      <c r="E26" s="219"/>
      <c r="F26" s="225"/>
      <c r="G26" s="225"/>
      <c r="H26" s="225"/>
      <c r="I26" s="225"/>
      <c r="J26" s="225"/>
      <c r="K26" s="225"/>
    </row>
    <row r="27" spans="1:11">
      <c r="A27" s="171"/>
      <c r="B27" s="171"/>
      <c r="C27" s="171"/>
      <c r="D27" s="217"/>
      <c r="E27" s="171"/>
      <c r="F27" s="172"/>
      <c r="G27" s="172"/>
      <c r="H27" s="172"/>
      <c r="I27" s="216"/>
      <c r="J27" s="172"/>
      <c r="K27" s="172"/>
    </row>
    <row r="28" spans="1:11">
      <c r="A28" s="72"/>
      <c r="B28" s="220"/>
      <c r="C28" s="220"/>
      <c r="D28" s="217"/>
      <c r="E28" s="171"/>
      <c r="F28" s="171"/>
      <c r="G28" s="221"/>
      <c r="H28" s="171"/>
      <c r="I28" s="171"/>
      <c r="J28" s="171"/>
      <c r="K28" s="72"/>
    </row>
    <row r="29" spans="1:11">
      <c r="A29" s="72"/>
      <c r="B29" s="220"/>
      <c r="C29" s="220"/>
      <c r="D29" s="217"/>
      <c r="E29" s="171"/>
      <c r="F29" s="171"/>
      <c r="G29" s="221"/>
      <c r="H29" s="171"/>
      <c r="I29" s="171"/>
      <c r="J29" s="171"/>
      <c r="K29" s="72"/>
    </row>
    <row r="30" spans="1:11">
      <c r="A30" s="72"/>
      <c r="B30" s="220"/>
      <c r="C30" s="220"/>
      <c r="D30" s="217"/>
      <c r="E30" s="171"/>
      <c r="F30" s="171"/>
      <c r="G30" s="221"/>
      <c r="H30" s="171"/>
      <c r="I30" s="171"/>
      <c r="J30" s="171"/>
      <c r="K30" s="72"/>
    </row>
    <row r="31" spans="1:11">
      <c r="A31" s="72"/>
      <c r="B31" s="220"/>
      <c r="C31" s="152"/>
      <c r="D31" s="217"/>
      <c r="E31" s="171"/>
      <c r="F31" s="171"/>
      <c r="G31" s="221"/>
      <c r="H31" s="171"/>
      <c r="I31" s="171"/>
      <c r="J31" s="171"/>
      <c r="K31" s="72"/>
    </row>
    <row r="32" spans="1:11">
      <c r="A32" s="72"/>
      <c r="B32" s="220"/>
      <c r="C32" s="152"/>
      <c r="D32" s="217"/>
      <c r="E32" s="171"/>
      <c r="F32" s="171"/>
      <c r="G32" s="221"/>
      <c r="H32" s="171"/>
      <c r="I32" s="171"/>
      <c r="J32" s="171"/>
      <c r="K32" s="72"/>
    </row>
    <row r="33" spans="1:16">
      <c r="A33" s="72"/>
      <c r="B33" s="220"/>
      <c r="C33" s="152"/>
      <c r="D33" s="217"/>
      <c r="E33" s="171"/>
      <c r="F33" s="171"/>
      <c r="G33" s="221"/>
      <c r="H33" s="171"/>
      <c r="I33" s="171"/>
      <c r="J33" s="171"/>
      <c r="K33" s="72"/>
    </row>
    <row r="34" spans="1:16">
      <c r="A34" s="72"/>
      <c r="B34" s="220"/>
      <c r="C34" s="152"/>
      <c r="D34" s="217"/>
      <c r="E34" s="171"/>
      <c r="F34" s="171"/>
      <c r="G34" s="221"/>
      <c r="H34" s="171"/>
      <c r="I34" s="171"/>
      <c r="J34" s="171"/>
      <c r="K34" s="72"/>
    </row>
    <row r="35" spans="1:16">
      <c r="A35" s="72"/>
      <c r="B35" s="220"/>
      <c r="C35" s="152"/>
      <c r="D35" s="217"/>
      <c r="E35" s="180"/>
      <c r="F35" s="171"/>
      <c r="G35" s="221"/>
      <c r="H35" s="171"/>
      <c r="I35" s="171"/>
      <c r="J35" s="171"/>
      <c r="K35" s="72"/>
    </row>
    <row r="36" spans="1:16">
      <c r="A36" s="72"/>
      <c r="B36" s="220"/>
      <c r="C36" s="152"/>
      <c r="D36" s="217"/>
      <c r="E36" s="180"/>
      <c r="F36" s="171"/>
      <c r="G36" s="221"/>
      <c r="H36" s="171"/>
      <c r="I36" s="171"/>
      <c r="J36" s="171"/>
      <c r="K36" s="72"/>
    </row>
    <row r="37" spans="1:16">
      <c r="B37" s="151"/>
      <c r="C37" s="152"/>
      <c r="D37" s="81"/>
      <c r="E37" s="84"/>
      <c r="F37" s="82"/>
      <c r="G37" s="153"/>
      <c r="H37" s="82"/>
      <c r="I37" s="82"/>
      <c r="J37" s="82"/>
    </row>
    <row r="38" spans="1:16">
      <c r="B38" s="151"/>
      <c r="C38" s="152"/>
      <c r="D38" s="81"/>
      <c r="E38" s="84"/>
      <c r="F38" s="82"/>
      <c r="G38" s="153"/>
      <c r="H38" s="82"/>
      <c r="I38" s="82"/>
      <c r="J38" s="82"/>
    </row>
    <row r="39" spans="1:16">
      <c r="B39" s="151"/>
      <c r="C39" s="152"/>
      <c r="D39" s="81"/>
      <c r="E39" s="84"/>
      <c r="F39" s="82"/>
      <c r="G39" s="153"/>
      <c r="H39" s="82"/>
      <c r="I39" s="82"/>
      <c r="J39" s="82"/>
    </row>
    <row r="40" spans="1:16">
      <c r="B40" s="151"/>
      <c r="C40" s="152"/>
      <c r="D40" s="81"/>
      <c r="E40" s="84"/>
      <c r="F40" s="82"/>
      <c r="G40" s="153"/>
      <c r="H40" s="82"/>
      <c r="I40" s="82"/>
      <c r="J40" s="82"/>
    </row>
    <row r="41" spans="1:16">
      <c r="B41" s="18"/>
      <c r="C41" s="21"/>
      <c r="D41" s="81"/>
      <c r="E41" s="84"/>
      <c r="F41" s="83"/>
      <c r="G41" s="85"/>
      <c r="H41" s="82"/>
      <c r="I41" s="82"/>
      <c r="J41" s="82"/>
    </row>
    <row r="42" spans="1:16">
      <c r="B42" s="18"/>
      <c r="C42" s="21"/>
      <c r="D42" s="81"/>
      <c r="E42" s="84"/>
      <c r="F42" s="83"/>
      <c r="G42" s="85"/>
      <c r="H42" s="82"/>
      <c r="I42" s="82"/>
      <c r="J42" s="82"/>
    </row>
    <row r="43" spans="1:16">
      <c r="B43" s="18"/>
      <c r="C43" s="21"/>
      <c r="D43" s="81"/>
      <c r="E43" s="92"/>
      <c r="F43" s="183"/>
      <c r="G43" s="184"/>
      <c r="H43" s="111"/>
      <c r="I43" s="111"/>
      <c r="J43" s="111"/>
      <c r="K43" s="73"/>
      <c r="L43" s="73"/>
      <c r="M43" s="73"/>
      <c r="N43" s="73"/>
      <c r="O43" s="73"/>
      <c r="P43" s="73"/>
    </row>
    <row r="44" spans="1:16">
      <c r="C44" s="21"/>
      <c r="E44" s="12"/>
      <c r="F44" s="12"/>
      <c r="G44" s="12"/>
      <c r="H44" s="12"/>
      <c r="I44" s="12"/>
      <c r="J44" s="12"/>
      <c r="K44" s="73"/>
      <c r="L44" s="73"/>
      <c r="M44" s="73"/>
      <c r="N44" s="73"/>
      <c r="O44" s="73"/>
      <c r="P44" s="73"/>
    </row>
    <row r="45" spans="1:16">
      <c r="E45" s="5"/>
      <c r="G45" s="5"/>
    </row>
    <row r="46" spans="1:16">
      <c r="C46" s="146"/>
      <c r="E46" s="5"/>
      <c r="G46" s="5"/>
    </row>
    <row r="47" spans="1:16">
      <c r="E47" s="5"/>
      <c r="G47" s="5"/>
    </row>
    <row r="48" spans="1:16">
      <c r="E48" s="5"/>
      <c r="G48" s="5"/>
    </row>
    <row r="49" spans="5:7">
      <c r="E49" s="5"/>
      <c r="G49" s="5"/>
    </row>
    <row r="50" spans="5:7">
      <c r="E50" s="5"/>
      <c r="G50" s="5"/>
    </row>
    <row r="51" spans="5:7">
      <c r="E51" s="5"/>
      <c r="G51" s="5"/>
    </row>
    <row r="52" spans="5:7">
      <c r="E52" s="5"/>
      <c r="G52" s="5"/>
    </row>
    <row r="53" spans="5:7">
      <c r="E53" s="5"/>
      <c r="G53" s="5"/>
    </row>
    <row r="54" spans="5:7">
      <c r="E54" s="5"/>
      <c r="G54" s="5"/>
    </row>
    <row r="55" spans="5:7">
      <c r="E55" s="5"/>
      <c r="G55" s="5"/>
    </row>
    <row r="56" spans="5:7">
      <c r="E56" s="5"/>
      <c r="G56" s="5"/>
    </row>
    <row r="57" spans="5:7">
      <c r="E57" s="5"/>
      <c r="G57" s="5"/>
    </row>
    <row r="58" spans="5:7">
      <c r="E58" s="5"/>
      <c r="G58" s="5"/>
    </row>
    <row r="59" spans="5:7">
      <c r="E59" s="5"/>
      <c r="G59" s="5"/>
    </row>
    <row r="60" spans="5:7">
      <c r="E60" s="5"/>
      <c r="G60" s="5"/>
    </row>
    <row r="61" spans="5:7">
      <c r="E61" s="5"/>
      <c r="G61" s="5"/>
    </row>
    <row r="62" spans="5:7">
      <c r="E62" s="5"/>
      <c r="G62" s="5"/>
    </row>
    <row r="63" spans="5:7">
      <c r="E63" s="5"/>
      <c r="G63" s="5"/>
    </row>
    <row r="64" spans="5:7">
      <c r="E64" s="5"/>
      <c r="G64" s="5"/>
    </row>
    <row r="65" spans="5:7">
      <c r="E65" s="5"/>
      <c r="G65" s="5"/>
    </row>
    <row r="66" spans="5:7">
      <c r="E66" s="5"/>
      <c r="G66" s="5"/>
    </row>
    <row r="67" spans="5:7">
      <c r="E67" s="5"/>
      <c r="G67" s="5"/>
    </row>
    <row r="68" spans="5:7">
      <c r="E68" s="5"/>
      <c r="G68" s="5"/>
    </row>
    <row r="69" spans="5:7">
      <c r="E69" s="5"/>
      <c r="G69" s="5"/>
    </row>
    <row r="70" spans="5:7">
      <c r="E70" s="5"/>
      <c r="G70" s="5"/>
    </row>
    <row r="71" spans="5:7">
      <c r="E71" s="5"/>
      <c r="G71" s="5"/>
    </row>
    <row r="72" spans="5:7">
      <c r="E72" s="5"/>
      <c r="G72" s="5"/>
    </row>
    <row r="73" spans="5:7">
      <c r="E73" s="5"/>
      <c r="G73" s="5"/>
    </row>
    <row r="74" spans="5:7">
      <c r="E74" s="5"/>
      <c r="G74" s="5"/>
    </row>
    <row r="75" spans="5:7">
      <c r="E75" s="5"/>
      <c r="G75" s="5"/>
    </row>
    <row r="76" spans="5:7">
      <c r="E76" s="5"/>
      <c r="G76" s="5"/>
    </row>
    <row r="77" spans="5:7">
      <c r="E77" s="5"/>
      <c r="G77" s="5"/>
    </row>
    <row r="78" spans="5:7">
      <c r="E78" s="5"/>
      <c r="G78" s="5"/>
    </row>
    <row r="79" spans="5:7">
      <c r="E79" s="5"/>
      <c r="G79" s="5"/>
    </row>
    <row r="80" spans="5:7">
      <c r="E80" s="5"/>
      <c r="G80" s="5"/>
    </row>
    <row r="81" spans="5:7">
      <c r="E81" s="5"/>
      <c r="G81" s="5"/>
    </row>
    <row r="82" spans="5:7">
      <c r="E82" s="5"/>
      <c r="G82" s="5"/>
    </row>
    <row r="83" spans="5:7">
      <c r="E83" s="5"/>
      <c r="G83" s="5"/>
    </row>
    <row r="84" spans="5:7">
      <c r="E84" s="5"/>
      <c r="G84" s="5"/>
    </row>
    <row r="85" spans="5:7">
      <c r="E85" s="5"/>
      <c r="G85" s="5"/>
    </row>
    <row r="86" spans="5:7">
      <c r="E86" s="5"/>
      <c r="G86" s="5"/>
    </row>
    <row r="87" spans="5:7">
      <c r="E87" s="5"/>
      <c r="G87" s="5"/>
    </row>
    <row r="88" spans="5:7">
      <c r="E88" s="5"/>
      <c r="G88" s="5"/>
    </row>
    <row r="89" spans="5:7">
      <c r="E89" s="5"/>
      <c r="G89" s="5"/>
    </row>
    <row r="90" spans="5:7">
      <c r="E90" s="5"/>
      <c r="G90" s="5"/>
    </row>
    <row r="91" spans="5:7">
      <c r="E91" s="5"/>
      <c r="G91" s="5"/>
    </row>
    <row r="92" spans="5:7">
      <c r="E92" s="5"/>
      <c r="G92" s="5"/>
    </row>
    <row r="93" spans="5:7">
      <c r="E93" s="5"/>
      <c r="G93" s="5"/>
    </row>
    <row r="94" spans="5:7">
      <c r="E94" s="5"/>
      <c r="G94" s="5"/>
    </row>
    <row r="95" spans="5:7">
      <c r="E95" s="5"/>
      <c r="G95" s="5"/>
    </row>
    <row r="96" spans="5:7">
      <c r="E96" s="5"/>
      <c r="G96" s="5"/>
    </row>
    <row r="97" spans="5:7">
      <c r="E97" s="5"/>
      <c r="G97" s="5"/>
    </row>
    <row r="98" spans="5:7">
      <c r="E98" s="5"/>
      <c r="G98" s="5"/>
    </row>
    <row r="99" spans="5:7">
      <c r="E99" s="5"/>
      <c r="G99" s="5"/>
    </row>
    <row r="100" spans="5:7">
      <c r="E100" s="5"/>
      <c r="G100" s="5"/>
    </row>
    <row r="101" spans="5:7">
      <c r="E101" s="5"/>
      <c r="G101" s="5"/>
    </row>
    <row r="102" spans="5:7">
      <c r="E102" s="5"/>
      <c r="G102" s="5"/>
    </row>
    <row r="103" spans="5:7">
      <c r="E103" s="5"/>
      <c r="G103" s="5"/>
    </row>
    <row r="104" spans="5:7">
      <c r="E104" s="5"/>
      <c r="G104" s="5"/>
    </row>
    <row r="105" spans="5:7">
      <c r="E105" s="5"/>
      <c r="G105" s="5"/>
    </row>
    <row r="106" spans="5:7">
      <c r="E106" s="5"/>
      <c r="G106" s="5"/>
    </row>
    <row r="107" spans="5:7">
      <c r="E107" s="5"/>
      <c r="G107" s="5"/>
    </row>
    <row r="108" spans="5:7">
      <c r="E108" s="5"/>
      <c r="G108" s="5"/>
    </row>
    <row r="109" spans="5:7">
      <c r="E109" s="5"/>
      <c r="G109" s="5"/>
    </row>
    <row r="110" spans="5:7">
      <c r="E110" s="5"/>
      <c r="G110" s="5"/>
    </row>
    <row r="111" spans="5:7">
      <c r="E111" s="5"/>
      <c r="G111" s="5"/>
    </row>
    <row r="112" spans="5:7">
      <c r="E112" s="5"/>
      <c r="G112" s="5"/>
    </row>
    <row r="113" spans="5:7">
      <c r="E113" s="5"/>
      <c r="G113" s="5"/>
    </row>
    <row r="114" spans="5:7">
      <c r="E114" s="5"/>
      <c r="G114" s="5"/>
    </row>
    <row r="115" spans="5:7">
      <c r="E115" s="5"/>
      <c r="G115" s="5"/>
    </row>
    <row r="116" spans="5:7">
      <c r="E116" s="5"/>
      <c r="G116" s="5"/>
    </row>
    <row r="117" spans="5:7">
      <c r="E117" s="5"/>
      <c r="G117" s="5"/>
    </row>
    <row r="118" spans="5:7">
      <c r="E118" s="5"/>
      <c r="G118" s="5"/>
    </row>
    <row r="119" spans="5:7">
      <c r="E119" s="5"/>
      <c r="G119" s="5"/>
    </row>
    <row r="120" spans="5:7">
      <c r="E120" s="5"/>
      <c r="G120" s="5"/>
    </row>
    <row r="121" spans="5:7">
      <c r="E121" s="5"/>
      <c r="G121" s="5"/>
    </row>
    <row r="122" spans="5:7">
      <c r="E122" s="5"/>
      <c r="G122" s="5"/>
    </row>
    <row r="123" spans="5:7">
      <c r="E123" s="5"/>
      <c r="G123" s="5"/>
    </row>
    <row r="124" spans="5:7">
      <c r="E124" s="5"/>
      <c r="G124" s="5"/>
    </row>
    <row r="125" spans="5:7">
      <c r="E125" s="5"/>
      <c r="G125" s="5"/>
    </row>
    <row r="126" spans="5:7">
      <c r="E126" s="5"/>
      <c r="G126" s="5"/>
    </row>
    <row r="127" spans="5:7">
      <c r="E127" s="5"/>
      <c r="G127" s="5"/>
    </row>
    <row r="128" spans="5:7">
      <c r="E128" s="5"/>
      <c r="G128" s="5"/>
    </row>
    <row r="129" spans="5:7">
      <c r="E129" s="5"/>
      <c r="G129" s="5"/>
    </row>
    <row r="130" spans="5:7">
      <c r="E130" s="5"/>
      <c r="G130" s="5"/>
    </row>
    <row r="131" spans="5:7">
      <c r="E131" s="5"/>
      <c r="G131" s="5"/>
    </row>
    <row r="132" spans="5:7">
      <c r="E132" s="5"/>
      <c r="G132" s="5"/>
    </row>
    <row r="133" spans="5:7">
      <c r="E133" s="5"/>
      <c r="G133" s="5"/>
    </row>
    <row r="134" spans="5:7">
      <c r="E134" s="5"/>
      <c r="G134" s="5"/>
    </row>
    <row r="135" spans="5:7">
      <c r="E135" s="5"/>
      <c r="G135" s="5"/>
    </row>
    <row r="136" spans="5:7">
      <c r="E136" s="5"/>
      <c r="G136" s="5"/>
    </row>
    <row r="137" spans="5:7">
      <c r="E137" s="5"/>
      <c r="G137" s="5"/>
    </row>
    <row r="138" spans="5:7">
      <c r="E138" s="5"/>
      <c r="G138" s="5"/>
    </row>
    <row r="139" spans="5:7">
      <c r="E139" s="5"/>
      <c r="G139" s="5"/>
    </row>
    <row r="140" spans="5:7">
      <c r="E140" s="5"/>
      <c r="G140" s="5"/>
    </row>
    <row r="141" spans="5:7">
      <c r="E141" s="5"/>
      <c r="G141" s="5"/>
    </row>
    <row r="142" spans="5:7">
      <c r="E142" s="5"/>
      <c r="G142" s="5"/>
    </row>
    <row r="143" spans="5:7">
      <c r="E143" s="5"/>
      <c r="G143" s="5"/>
    </row>
    <row r="144" spans="5:7">
      <c r="E144" s="5"/>
      <c r="G144" s="5"/>
    </row>
    <row r="145" spans="5:7">
      <c r="E145" s="5"/>
      <c r="G145" s="5"/>
    </row>
    <row r="146" spans="5:7">
      <c r="E146" s="5"/>
      <c r="G146" s="5"/>
    </row>
    <row r="147" spans="5:7">
      <c r="E147" s="5"/>
      <c r="G147" s="5"/>
    </row>
    <row r="148" spans="5:7">
      <c r="E148" s="5"/>
      <c r="G148" s="5"/>
    </row>
    <row r="149" spans="5:7">
      <c r="E149" s="5"/>
      <c r="G149" s="5"/>
    </row>
    <row r="150" spans="5:7">
      <c r="E150" s="5"/>
      <c r="G150" s="5"/>
    </row>
    <row r="151" spans="5:7">
      <c r="E151" s="5"/>
      <c r="G151" s="5"/>
    </row>
    <row r="152" spans="5:7">
      <c r="E152" s="5"/>
      <c r="G152" s="5"/>
    </row>
    <row r="153" spans="5:7">
      <c r="E153" s="5"/>
      <c r="G153" s="5"/>
    </row>
    <row r="154" spans="5:7">
      <c r="E154" s="5"/>
      <c r="G154" s="5"/>
    </row>
    <row r="155" spans="5:7">
      <c r="E155" s="5"/>
      <c r="G155" s="5"/>
    </row>
    <row r="156" spans="5:7">
      <c r="E156" s="5"/>
      <c r="G156" s="5"/>
    </row>
    <row r="157" spans="5:7">
      <c r="E157" s="5"/>
      <c r="G157" s="5"/>
    </row>
    <row r="158" spans="5:7">
      <c r="E158" s="5"/>
      <c r="G158" s="5"/>
    </row>
    <row r="159" spans="5:7">
      <c r="E159" s="5"/>
      <c r="G159" s="5"/>
    </row>
    <row r="160" spans="5:7">
      <c r="E160" s="5"/>
      <c r="G160" s="5"/>
    </row>
    <row r="161" spans="5:7">
      <c r="E161" s="5"/>
      <c r="G161" s="5"/>
    </row>
    <row r="162" spans="5:7">
      <c r="E162" s="5"/>
      <c r="G162" s="5"/>
    </row>
    <row r="163" spans="5:7">
      <c r="E163" s="5"/>
      <c r="G163" s="5"/>
    </row>
    <row r="164" spans="5:7">
      <c r="E164" s="5"/>
      <c r="G164" s="5"/>
    </row>
    <row r="165" spans="5:7">
      <c r="E165" s="5"/>
      <c r="G165" s="5"/>
    </row>
    <row r="166" spans="5:7">
      <c r="E166" s="5"/>
      <c r="G166" s="5"/>
    </row>
    <row r="167" spans="5:7">
      <c r="E167" s="5"/>
      <c r="G167" s="5"/>
    </row>
    <row r="168" spans="5:7">
      <c r="E168" s="5"/>
      <c r="G168" s="5"/>
    </row>
    <row r="169" spans="5:7">
      <c r="E169" s="5"/>
      <c r="G169" s="5"/>
    </row>
    <row r="170" spans="5:7">
      <c r="E170" s="5"/>
      <c r="G170" s="5"/>
    </row>
    <row r="171" spans="5:7">
      <c r="E171" s="5"/>
      <c r="G171" s="5"/>
    </row>
    <row r="172" spans="5:7">
      <c r="E172" s="5"/>
      <c r="G172" s="5"/>
    </row>
    <row r="173" spans="5:7">
      <c r="E173" s="5"/>
      <c r="G173" s="5"/>
    </row>
    <row r="174" spans="5:7">
      <c r="E174" s="5"/>
      <c r="G174" s="5"/>
    </row>
    <row r="175" spans="5:7">
      <c r="E175" s="5"/>
      <c r="G175" s="5"/>
    </row>
    <row r="176" spans="5:7">
      <c r="E176" s="5"/>
      <c r="G176" s="5"/>
    </row>
    <row r="177" spans="5:7">
      <c r="E177" s="5"/>
      <c r="G177" s="5"/>
    </row>
    <row r="178" spans="5:7">
      <c r="E178" s="5"/>
      <c r="G178" s="5"/>
    </row>
    <row r="179" spans="5:7">
      <c r="E179" s="5"/>
      <c r="G179" s="5"/>
    </row>
    <row r="180" spans="5:7">
      <c r="E180" s="5"/>
      <c r="G180" s="5"/>
    </row>
    <row r="181" spans="5:7">
      <c r="E181" s="5"/>
      <c r="G181" s="5"/>
    </row>
    <row r="182" spans="5:7">
      <c r="E182" s="5"/>
      <c r="G182" s="5"/>
    </row>
    <row r="183" spans="5:7">
      <c r="E183" s="5"/>
      <c r="G183" s="5"/>
    </row>
    <row r="184" spans="5:7">
      <c r="E184" s="5"/>
      <c r="G184" s="5"/>
    </row>
    <row r="185" spans="5:7">
      <c r="E185" s="5"/>
      <c r="G185" s="5"/>
    </row>
    <row r="186" spans="5:7">
      <c r="E186" s="5"/>
      <c r="G186" s="5"/>
    </row>
    <row r="187" spans="5:7">
      <c r="E187" s="5"/>
      <c r="G187" s="5"/>
    </row>
    <row r="188" spans="5:7">
      <c r="E188" s="5"/>
      <c r="G188" s="5"/>
    </row>
    <row r="189" spans="5:7">
      <c r="E189" s="5"/>
      <c r="G189" s="5"/>
    </row>
    <row r="190" spans="5:7">
      <c r="E190" s="5"/>
      <c r="G190" s="5"/>
    </row>
    <row r="191" spans="5:7">
      <c r="E191" s="5"/>
      <c r="G191" s="5"/>
    </row>
    <row r="192" spans="5:7">
      <c r="E192" s="5"/>
      <c r="G192" s="5"/>
    </row>
    <row r="193" spans="5:7">
      <c r="E193" s="5"/>
      <c r="G193" s="5"/>
    </row>
    <row r="194" spans="5:7">
      <c r="E194" s="5"/>
      <c r="G194" s="5"/>
    </row>
    <row r="195" spans="5:7">
      <c r="E195" s="5"/>
      <c r="G195" s="5"/>
    </row>
    <row r="196" spans="5:7">
      <c r="E196" s="5"/>
      <c r="G196" s="5"/>
    </row>
    <row r="197" spans="5:7">
      <c r="E197" s="5"/>
      <c r="G197" s="5"/>
    </row>
    <row r="198" spans="5:7">
      <c r="E198" s="5"/>
      <c r="G198" s="5"/>
    </row>
    <row r="199" spans="5:7">
      <c r="E199" s="5"/>
      <c r="G199" s="5"/>
    </row>
    <row r="200" spans="5:7">
      <c r="E200" s="5"/>
      <c r="G200" s="5"/>
    </row>
    <row r="201" spans="5:7">
      <c r="E201" s="5"/>
      <c r="G201" s="5"/>
    </row>
    <row r="202" spans="5:7">
      <c r="E202" s="5"/>
      <c r="G202" s="5"/>
    </row>
    <row r="203" spans="5:7">
      <c r="E203" s="5"/>
      <c r="G203" s="5"/>
    </row>
    <row r="204" spans="5:7">
      <c r="E204" s="5"/>
      <c r="G204" s="5"/>
    </row>
    <row r="205" spans="5:7">
      <c r="E205" s="5"/>
      <c r="G205" s="5"/>
    </row>
    <row r="206" spans="5:7">
      <c r="E206" s="5"/>
      <c r="G206" s="5"/>
    </row>
    <row r="207" spans="5:7">
      <c r="E207" s="5"/>
      <c r="G207" s="5"/>
    </row>
    <row r="208" spans="5:7">
      <c r="E208" s="5"/>
      <c r="G208" s="5"/>
    </row>
    <row r="209" spans="5:7">
      <c r="E209" s="5"/>
      <c r="G209" s="5"/>
    </row>
    <row r="210" spans="5:7">
      <c r="E210" s="5"/>
      <c r="G210" s="5"/>
    </row>
    <row r="211" spans="5:7">
      <c r="E211" s="5"/>
      <c r="G211" s="5"/>
    </row>
    <row r="212" spans="5:7">
      <c r="E212" s="5"/>
      <c r="G212" s="5"/>
    </row>
    <row r="213" spans="5:7">
      <c r="E213" s="5"/>
      <c r="G213" s="5"/>
    </row>
    <row r="214" spans="5:7">
      <c r="E214" s="5"/>
      <c r="G214" s="5"/>
    </row>
    <row r="215" spans="5:7">
      <c r="E215" s="5"/>
      <c r="G215" s="5"/>
    </row>
    <row r="216" spans="5:7">
      <c r="E216" s="5"/>
      <c r="G216" s="5"/>
    </row>
    <row r="217" spans="5:7">
      <c r="E217" s="5"/>
      <c r="G217" s="5"/>
    </row>
    <row r="218" spans="5:7">
      <c r="E218" s="5"/>
      <c r="G218" s="5"/>
    </row>
    <row r="219" spans="5:7">
      <c r="E219" s="5"/>
      <c r="G219" s="5"/>
    </row>
    <row r="220" spans="5:7">
      <c r="E220" s="5"/>
      <c r="G220" s="5"/>
    </row>
    <row r="221" spans="5:7">
      <c r="E221" s="5"/>
      <c r="G221" s="5"/>
    </row>
    <row r="222" spans="5:7">
      <c r="E222" s="5"/>
      <c r="G222" s="5"/>
    </row>
    <row r="223" spans="5:7">
      <c r="E223" s="5"/>
      <c r="G223" s="5"/>
    </row>
    <row r="224" spans="5:7">
      <c r="E224" s="5"/>
      <c r="G224" s="5"/>
    </row>
    <row r="225" spans="5:7">
      <c r="E225" s="5"/>
      <c r="G225" s="5"/>
    </row>
    <row r="226" spans="5:7">
      <c r="E226" s="5"/>
      <c r="G226" s="5"/>
    </row>
    <row r="227" spans="5:7">
      <c r="E227" s="5"/>
      <c r="G227" s="5"/>
    </row>
    <row r="228" spans="5:7">
      <c r="E228" s="5"/>
      <c r="G228" s="5"/>
    </row>
    <row r="229" spans="5:7">
      <c r="E229" s="5"/>
      <c r="G229" s="5"/>
    </row>
    <row r="230" spans="5:7">
      <c r="E230" s="5"/>
      <c r="G230" s="5"/>
    </row>
    <row r="231" spans="5:7">
      <c r="E231" s="5"/>
      <c r="G231" s="5"/>
    </row>
    <row r="232" spans="5:7">
      <c r="E232" s="5"/>
      <c r="G232" s="5"/>
    </row>
    <row r="233" spans="5:7">
      <c r="E233" s="5"/>
      <c r="G233" s="5"/>
    </row>
    <row r="234" spans="5:7">
      <c r="E234" s="5"/>
      <c r="G234" s="5"/>
    </row>
    <row r="235" spans="5:7">
      <c r="E235" s="5"/>
      <c r="G235" s="5"/>
    </row>
    <row r="236" spans="5:7">
      <c r="E236" s="5"/>
      <c r="G236" s="5"/>
    </row>
    <row r="237" spans="5:7">
      <c r="E237" s="5"/>
      <c r="G237" s="5"/>
    </row>
    <row r="238" spans="5:7">
      <c r="E238" s="5"/>
      <c r="G238" s="5"/>
    </row>
    <row r="239" spans="5:7">
      <c r="E239" s="5"/>
      <c r="G239" s="5"/>
    </row>
    <row r="240" spans="5:7">
      <c r="E240" s="5"/>
      <c r="G240" s="5"/>
    </row>
    <row r="241" spans="5:7">
      <c r="E241" s="5"/>
      <c r="G241" s="5"/>
    </row>
    <row r="242" spans="5:7">
      <c r="E242" s="5"/>
      <c r="G242" s="5"/>
    </row>
    <row r="243" spans="5:7">
      <c r="E243" s="5"/>
      <c r="G243" s="5"/>
    </row>
    <row r="244" spans="5:7">
      <c r="E244" s="5"/>
      <c r="G244" s="5"/>
    </row>
    <row r="245" spans="5:7">
      <c r="E245" s="5"/>
      <c r="G245" s="5"/>
    </row>
    <row r="246" spans="5:7">
      <c r="E246" s="5"/>
      <c r="G246" s="5"/>
    </row>
    <row r="247" spans="5:7">
      <c r="E247" s="5"/>
      <c r="G247" s="5"/>
    </row>
    <row r="248" spans="5:7">
      <c r="E248" s="5"/>
      <c r="G248" s="5"/>
    </row>
    <row r="249" spans="5:7">
      <c r="E249" s="5"/>
      <c r="G249" s="5"/>
    </row>
    <row r="250" spans="5:7">
      <c r="E250" s="5"/>
      <c r="G250" s="5"/>
    </row>
    <row r="251" spans="5:7">
      <c r="E251" s="5"/>
      <c r="G251" s="5"/>
    </row>
    <row r="252" spans="5:7">
      <c r="E252" s="5"/>
      <c r="G252" s="5"/>
    </row>
    <row r="253" spans="5:7">
      <c r="E253" s="5"/>
      <c r="G253" s="5"/>
    </row>
    <row r="254" spans="5:7">
      <c r="E254" s="5"/>
      <c r="G254" s="5"/>
    </row>
    <row r="255" spans="5:7">
      <c r="E255" s="5"/>
      <c r="G255" s="5"/>
    </row>
    <row r="256" spans="5:7">
      <c r="E256" s="5"/>
      <c r="G256" s="5"/>
    </row>
    <row r="257" spans="5:7">
      <c r="E257" s="5"/>
      <c r="G257" s="5"/>
    </row>
    <row r="258" spans="5:7">
      <c r="E258" s="5"/>
      <c r="G258" s="5"/>
    </row>
    <row r="259" spans="5:7">
      <c r="E259" s="5"/>
      <c r="G259" s="5"/>
    </row>
    <row r="260" spans="5:7">
      <c r="E260" s="5"/>
      <c r="G260" s="5"/>
    </row>
    <row r="261" spans="5:7">
      <c r="E261" s="5"/>
      <c r="G261" s="5"/>
    </row>
    <row r="262" spans="5:7">
      <c r="E262" s="5"/>
      <c r="G262" s="5"/>
    </row>
    <row r="263" spans="5:7">
      <c r="E263" s="5"/>
      <c r="G263" s="5"/>
    </row>
    <row r="264" spans="5:7">
      <c r="E264" s="5"/>
      <c r="G264" s="5"/>
    </row>
    <row r="265" spans="5:7">
      <c r="E265" s="5"/>
      <c r="G265" s="5"/>
    </row>
    <row r="266" spans="5:7">
      <c r="E266" s="5"/>
      <c r="G266" s="5"/>
    </row>
    <row r="267" spans="5:7">
      <c r="E267" s="5"/>
      <c r="G267" s="5"/>
    </row>
    <row r="268" spans="5:7">
      <c r="E268" s="5"/>
      <c r="G268" s="5"/>
    </row>
    <row r="269" spans="5:7">
      <c r="E269" s="5"/>
      <c r="G269" s="5"/>
    </row>
    <row r="270" spans="5:7">
      <c r="E270" s="5"/>
      <c r="G270" s="5"/>
    </row>
    <row r="271" spans="5:7">
      <c r="E271" s="5"/>
      <c r="G271" s="5"/>
    </row>
    <row r="272" spans="5:7">
      <c r="E272" s="5"/>
      <c r="G272" s="5"/>
    </row>
    <row r="273" spans="5:7">
      <c r="E273" s="5"/>
      <c r="G273" s="5"/>
    </row>
    <row r="274" spans="5:7">
      <c r="E274" s="5"/>
      <c r="G274" s="5"/>
    </row>
    <row r="275" spans="5:7">
      <c r="E275" s="5"/>
      <c r="G275" s="5"/>
    </row>
    <row r="276" spans="5:7">
      <c r="E276" s="5"/>
      <c r="G276" s="5"/>
    </row>
    <row r="277" spans="5:7">
      <c r="E277" s="5"/>
      <c r="G277" s="5"/>
    </row>
    <row r="278" spans="5:7">
      <c r="E278" s="5"/>
      <c r="G278" s="5"/>
    </row>
    <row r="279" spans="5:7">
      <c r="E279" s="5"/>
      <c r="G279" s="5"/>
    </row>
    <row r="280" spans="5:7">
      <c r="E280" s="5"/>
      <c r="G280" s="5"/>
    </row>
    <row r="281" spans="5:7">
      <c r="E281" s="5"/>
      <c r="G281" s="5"/>
    </row>
    <row r="282" spans="5:7">
      <c r="E282" s="5"/>
      <c r="G282" s="5"/>
    </row>
    <row r="283" spans="5:7">
      <c r="E283" s="5"/>
      <c r="G283" s="5"/>
    </row>
    <row r="284" spans="5:7">
      <c r="E284" s="5"/>
      <c r="G284" s="5"/>
    </row>
    <row r="285" spans="5:7">
      <c r="E285" s="5"/>
      <c r="G285" s="5"/>
    </row>
    <row r="286" spans="5:7">
      <c r="E286" s="5"/>
      <c r="G286" s="5"/>
    </row>
    <row r="287" spans="5:7">
      <c r="E287" s="5"/>
      <c r="G287" s="5"/>
    </row>
    <row r="288" spans="5:7">
      <c r="E288" s="5"/>
      <c r="G288" s="5"/>
    </row>
    <row r="289" spans="5:7">
      <c r="E289" s="5"/>
      <c r="G289" s="5"/>
    </row>
    <row r="290" spans="5:7">
      <c r="E290" s="5"/>
      <c r="G290" s="5"/>
    </row>
    <row r="291" spans="5:7">
      <c r="E291" s="5"/>
      <c r="G291" s="5"/>
    </row>
    <row r="292" spans="5:7">
      <c r="E292" s="5"/>
      <c r="G292" s="5"/>
    </row>
    <row r="293" spans="5:7">
      <c r="E293" s="5"/>
      <c r="G293" s="5"/>
    </row>
    <row r="294" spans="5:7">
      <c r="E294" s="5"/>
      <c r="G294" s="5"/>
    </row>
    <row r="295" spans="5:7">
      <c r="E295" s="5"/>
      <c r="G295" s="5"/>
    </row>
    <row r="296" spans="5:7">
      <c r="E296" s="5"/>
      <c r="G296" s="5"/>
    </row>
    <row r="297" spans="5:7">
      <c r="E297" s="5"/>
      <c r="G297" s="5"/>
    </row>
    <row r="298" spans="5:7">
      <c r="E298" s="5"/>
      <c r="G298" s="5"/>
    </row>
    <row r="299" spans="5:7">
      <c r="E299" s="5"/>
      <c r="G299" s="5"/>
    </row>
    <row r="300" spans="5:7">
      <c r="E300" s="5"/>
      <c r="G300" s="5"/>
    </row>
    <row r="301" spans="5:7">
      <c r="E301" s="5"/>
      <c r="G301" s="5"/>
    </row>
    <row r="302" spans="5:7">
      <c r="E302" s="5"/>
      <c r="G302" s="5"/>
    </row>
    <row r="303" spans="5:7">
      <c r="E303" s="5"/>
      <c r="G303" s="5"/>
    </row>
    <row r="304" spans="5:7">
      <c r="E304" s="5"/>
      <c r="G304" s="5"/>
    </row>
    <row r="305" spans="5:7">
      <c r="E305" s="5"/>
      <c r="G305" s="5"/>
    </row>
    <row r="306" spans="5:7">
      <c r="E306" s="5"/>
      <c r="G306" s="5"/>
    </row>
    <row r="307" spans="5:7">
      <c r="E307" s="5"/>
      <c r="G307" s="5"/>
    </row>
    <row r="308" spans="5:7">
      <c r="E308" s="5"/>
      <c r="G308" s="5"/>
    </row>
    <row r="309" spans="5:7">
      <c r="E309" s="5"/>
      <c r="G309" s="5"/>
    </row>
    <row r="310" spans="5:7">
      <c r="E310" s="5"/>
      <c r="G310" s="5"/>
    </row>
    <row r="311" spans="5:7">
      <c r="E311" s="5"/>
      <c r="G311" s="5"/>
    </row>
    <row r="312" spans="5:7">
      <c r="E312" s="5"/>
      <c r="G312" s="5"/>
    </row>
    <row r="313" spans="5:7">
      <c r="E313" s="5"/>
      <c r="G313" s="5"/>
    </row>
    <row r="314" spans="5:7">
      <c r="E314" s="5"/>
      <c r="G314" s="5"/>
    </row>
    <row r="315" spans="5:7">
      <c r="E315" s="5"/>
      <c r="G315" s="5"/>
    </row>
    <row r="316" spans="5:7">
      <c r="E316" s="5"/>
      <c r="G316" s="5"/>
    </row>
    <row r="317" spans="5:7">
      <c r="E317" s="5"/>
      <c r="G317" s="5"/>
    </row>
    <row r="318" spans="5:7">
      <c r="E318" s="5"/>
      <c r="G318" s="5"/>
    </row>
    <row r="319" spans="5:7">
      <c r="E319" s="5"/>
      <c r="G319" s="5"/>
    </row>
    <row r="320" spans="5:7">
      <c r="E320" s="5"/>
      <c r="G320" s="5"/>
    </row>
    <row r="321" spans="5:7">
      <c r="E321" s="5"/>
      <c r="G321" s="5"/>
    </row>
    <row r="322" spans="5:7">
      <c r="E322" s="5"/>
      <c r="G322" s="5"/>
    </row>
    <row r="323" spans="5:7">
      <c r="E323" s="5"/>
      <c r="G323" s="5"/>
    </row>
    <row r="324" spans="5:7">
      <c r="E324" s="5"/>
      <c r="G324" s="5"/>
    </row>
    <row r="325" spans="5:7">
      <c r="E325" s="5"/>
      <c r="G325" s="5"/>
    </row>
    <row r="326" spans="5:7">
      <c r="E326" s="5"/>
      <c r="G326" s="5"/>
    </row>
    <row r="327" spans="5:7">
      <c r="E327" s="5"/>
      <c r="G327" s="5"/>
    </row>
    <row r="328" spans="5:7">
      <c r="E328" s="5"/>
      <c r="G328" s="5"/>
    </row>
    <row r="329" spans="5:7">
      <c r="E329" s="5"/>
      <c r="G329" s="5"/>
    </row>
    <row r="330" spans="5:7">
      <c r="E330" s="5"/>
      <c r="G330" s="5"/>
    </row>
    <row r="331" spans="5:7">
      <c r="E331" s="5"/>
      <c r="G331" s="5"/>
    </row>
    <row r="332" spans="5:7">
      <c r="E332" s="5"/>
      <c r="G332" s="5"/>
    </row>
    <row r="333" spans="5:7">
      <c r="E333" s="5"/>
      <c r="G333" s="5"/>
    </row>
    <row r="334" spans="5:7">
      <c r="E334" s="5"/>
      <c r="G334" s="5"/>
    </row>
    <row r="335" spans="5:7">
      <c r="E335" s="5"/>
      <c r="G335" s="5"/>
    </row>
    <row r="336" spans="5:7">
      <c r="E336" s="5"/>
      <c r="G336" s="5"/>
    </row>
    <row r="337" spans="5:7">
      <c r="E337" s="5"/>
      <c r="G337" s="5"/>
    </row>
    <row r="338" spans="5:7">
      <c r="E338" s="5"/>
      <c r="G338" s="5"/>
    </row>
    <row r="339" spans="5:7">
      <c r="E339" s="5"/>
      <c r="G339" s="5"/>
    </row>
    <row r="340" spans="5:7">
      <c r="E340" s="5"/>
      <c r="G340" s="5"/>
    </row>
    <row r="341" spans="5:7">
      <c r="E341" s="5"/>
      <c r="G341" s="5"/>
    </row>
    <row r="342" spans="5:7">
      <c r="E342" s="5"/>
      <c r="G342" s="5"/>
    </row>
    <row r="343" spans="5:7">
      <c r="E343" s="5"/>
      <c r="G343" s="5"/>
    </row>
    <row r="344" spans="5:7">
      <c r="E344" s="5"/>
      <c r="G344" s="5"/>
    </row>
    <row r="345" spans="5:7">
      <c r="E345" s="5"/>
      <c r="G345" s="5"/>
    </row>
    <row r="346" spans="5:7">
      <c r="E346" s="5"/>
      <c r="G346" s="5"/>
    </row>
    <row r="347" spans="5:7">
      <c r="E347" s="5"/>
      <c r="G347" s="5"/>
    </row>
    <row r="348" spans="5:7">
      <c r="E348" s="5"/>
      <c r="G348" s="5"/>
    </row>
  </sheetData>
  <mergeCells count="3">
    <mergeCell ref="A6:D6"/>
    <mergeCell ref="A5:K5"/>
    <mergeCell ref="A4:K4"/>
  </mergeCells>
  <phoneticPr fontId="5" type="noConversion"/>
  <pageMargins left="0.75" right="0.75" top="1" bottom="1" header="0.5" footer="0.5"/>
  <pageSetup scale="5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10"/>
    <pageSetUpPr fitToPage="1"/>
  </sheetPr>
  <dimension ref="A1:I435"/>
  <sheetViews>
    <sheetView zoomScaleNormal="100" workbookViewId="0">
      <selection activeCell="A3" sqref="A3:G3"/>
    </sheetView>
  </sheetViews>
  <sheetFormatPr defaultRowHeight="12.75"/>
  <cols>
    <col min="1" max="1" width="4.42578125" bestFit="1" customWidth="1"/>
    <col min="2" max="2" width="7.42578125" bestFit="1" customWidth="1"/>
    <col min="3" max="3" width="49.42578125" bestFit="1" customWidth="1"/>
    <col min="4" max="4" width="11.28515625" style="16" bestFit="1" customWidth="1"/>
    <col min="5" max="5" width="15.140625" customWidth="1"/>
    <col min="6" max="6" width="15.140625" bestFit="1" customWidth="1"/>
    <col min="7" max="7" width="12.7109375" bestFit="1" customWidth="1"/>
    <col min="9" max="9" width="9.7109375" bestFit="1" customWidth="1"/>
    <col min="10" max="10" width="8.7109375" bestFit="1" customWidth="1"/>
  </cols>
  <sheetData>
    <row r="1" spans="1:9">
      <c r="G1" t="str">
        <f>A!D1</f>
        <v>Docket No. RP16-299-000</v>
      </c>
    </row>
    <row r="2" spans="1:9">
      <c r="A2" s="927"/>
      <c r="B2" s="927"/>
      <c r="C2" s="927"/>
      <c r="D2" s="927"/>
      <c r="G2" t="s">
        <v>455</v>
      </c>
    </row>
    <row r="3" spans="1:9">
      <c r="A3" s="927" t="str">
        <f>'Sched C-2'!A4:K4</f>
        <v>Tuscarora Gas Transmission Company</v>
      </c>
      <c r="B3" s="927"/>
      <c r="C3" s="927"/>
      <c r="D3" s="927"/>
      <c r="E3" s="927"/>
      <c r="F3" s="927"/>
      <c r="G3" s="927"/>
    </row>
    <row r="4" spans="1:9">
      <c r="A4" s="927" t="s">
        <v>456</v>
      </c>
      <c r="B4" s="927"/>
      <c r="C4" s="927"/>
      <c r="D4" s="927"/>
      <c r="E4" s="927"/>
      <c r="F4" s="927"/>
      <c r="G4" s="927"/>
    </row>
    <row r="5" spans="1:9">
      <c r="A5" s="927"/>
      <c r="B5" s="927"/>
      <c r="C5" s="927"/>
      <c r="D5" s="927"/>
    </row>
    <row r="7" spans="1:9">
      <c r="I7" s="2"/>
    </row>
    <row r="8" spans="1:9">
      <c r="B8" t="s">
        <v>457</v>
      </c>
      <c r="D8"/>
    </row>
    <row r="9" spans="1:9">
      <c r="D9"/>
    </row>
    <row r="10" spans="1:9">
      <c r="D10"/>
    </row>
    <row r="11" spans="1:9">
      <c r="D11" s="14"/>
      <c r="E11" s="2"/>
      <c r="F11" s="2"/>
      <c r="G11" s="2"/>
    </row>
    <row r="12" spans="1:9">
      <c r="C12" s="72"/>
      <c r="D12"/>
    </row>
    <row r="13" spans="1:9">
      <c r="D13"/>
    </row>
    <row r="14" spans="1:9">
      <c r="D14"/>
    </row>
    <row r="15" spans="1:9">
      <c r="D15"/>
    </row>
    <row r="16" spans="1:9">
      <c r="D16"/>
    </row>
    <row r="17" spans="4:4">
      <c r="D17"/>
    </row>
    <row r="18" spans="4:4">
      <c r="D18"/>
    </row>
    <row r="19" spans="4:4">
      <c r="D19"/>
    </row>
    <row r="20" spans="4:4">
      <c r="D20"/>
    </row>
    <row r="21" spans="4:4">
      <c r="D21"/>
    </row>
    <row r="22" spans="4:4">
      <c r="D22"/>
    </row>
    <row r="23" spans="4:4">
      <c r="D23"/>
    </row>
    <row r="24" spans="4:4">
      <c r="D24"/>
    </row>
    <row r="25" spans="4:4">
      <c r="D25"/>
    </row>
    <row r="26" spans="4:4">
      <c r="D26"/>
    </row>
    <row r="27" spans="4:4">
      <c r="D27"/>
    </row>
    <row r="28" spans="4:4">
      <c r="D28"/>
    </row>
    <row r="29" spans="4:4">
      <c r="D29"/>
    </row>
    <row r="30" spans="4:4">
      <c r="D30"/>
    </row>
    <row r="31" spans="4:4">
      <c r="D31"/>
    </row>
    <row r="32" spans="4:4">
      <c r="D32"/>
    </row>
    <row r="33" spans="4:4">
      <c r="D33"/>
    </row>
    <row r="34" spans="4:4">
      <c r="D34"/>
    </row>
    <row r="35" spans="4:4">
      <c r="D35"/>
    </row>
    <row r="36" spans="4:4">
      <c r="D36"/>
    </row>
    <row r="37" spans="4:4">
      <c r="D37"/>
    </row>
    <row r="38" spans="4:4">
      <c r="D38"/>
    </row>
    <row r="39" spans="4:4">
      <c r="D39"/>
    </row>
    <row r="40" spans="4:4">
      <c r="D40"/>
    </row>
    <row r="41" spans="4:4">
      <c r="D41"/>
    </row>
    <row r="42" spans="4:4">
      <c r="D42"/>
    </row>
    <row r="43" spans="4:4">
      <c r="D43"/>
    </row>
    <row r="44" spans="4:4">
      <c r="D44"/>
    </row>
    <row r="45" spans="4:4">
      <c r="D45"/>
    </row>
    <row r="46" spans="4:4">
      <c r="D46"/>
    </row>
    <row r="47" spans="4:4">
      <c r="D47"/>
    </row>
    <row r="48" spans="4:4">
      <c r="D48"/>
    </row>
    <row r="49" spans="4:7">
      <c r="D49"/>
    </row>
    <row r="50" spans="4:7">
      <c r="D50"/>
    </row>
    <row r="51" spans="4:7">
      <c r="D51"/>
    </row>
    <row r="52" spans="4:7">
      <c r="E52" s="5"/>
      <c r="F52" s="5"/>
      <c r="G52" s="5"/>
    </row>
    <row r="53" spans="4:7">
      <c r="E53" s="5"/>
      <c r="F53" s="5"/>
      <c r="G53" s="5"/>
    </row>
    <row r="54" spans="4:7">
      <c r="E54" s="5"/>
      <c r="F54" s="5"/>
      <c r="G54" s="5"/>
    </row>
    <row r="55" spans="4:7">
      <c r="E55" s="5"/>
      <c r="F55" s="5"/>
      <c r="G55" s="5"/>
    </row>
    <row r="56" spans="4:7">
      <c r="E56" s="5"/>
      <c r="F56" s="5"/>
      <c r="G56" s="5"/>
    </row>
    <row r="57" spans="4:7">
      <c r="E57" s="5"/>
      <c r="F57" s="5"/>
      <c r="G57" s="5"/>
    </row>
    <row r="58" spans="4:7">
      <c r="E58" s="5"/>
      <c r="F58" s="5"/>
      <c r="G58" s="5"/>
    </row>
    <row r="59" spans="4:7">
      <c r="E59" s="5"/>
      <c r="F59" s="5"/>
      <c r="G59" s="5"/>
    </row>
    <row r="60" spans="4:7">
      <c r="E60" s="5"/>
      <c r="F60" s="5"/>
      <c r="G60" s="5"/>
    </row>
    <row r="61" spans="4:7">
      <c r="E61" s="5"/>
      <c r="F61" s="5"/>
      <c r="G61" s="5"/>
    </row>
    <row r="62" spans="4:7">
      <c r="E62" s="5"/>
      <c r="F62" s="5"/>
      <c r="G62" s="5"/>
    </row>
    <row r="63" spans="4:7">
      <c r="E63" s="5"/>
      <c r="F63" s="5"/>
      <c r="G63" s="5"/>
    </row>
    <row r="64" spans="4:7">
      <c r="E64" s="5"/>
      <c r="F64" s="5"/>
      <c r="G64" s="5"/>
    </row>
    <row r="65" spans="5:7">
      <c r="E65" s="5"/>
      <c r="F65" s="5"/>
      <c r="G65" s="5"/>
    </row>
    <row r="66" spans="5:7">
      <c r="E66" s="5"/>
      <c r="F66" s="5"/>
      <c r="G66" s="5"/>
    </row>
    <row r="67" spans="5:7">
      <c r="E67" s="5"/>
      <c r="F67" s="5"/>
      <c r="G67" s="5"/>
    </row>
    <row r="68" spans="5:7">
      <c r="E68" s="5"/>
      <c r="F68" s="5"/>
      <c r="G68" s="5"/>
    </row>
    <row r="69" spans="5:7">
      <c r="E69" s="5"/>
      <c r="F69" s="5"/>
      <c r="G69" s="5"/>
    </row>
    <row r="70" spans="5:7">
      <c r="E70" s="5"/>
      <c r="F70" s="5"/>
      <c r="G70" s="5"/>
    </row>
    <row r="71" spans="5:7">
      <c r="E71" s="5"/>
      <c r="F71" s="5"/>
      <c r="G71" s="5"/>
    </row>
    <row r="72" spans="5:7">
      <c r="E72" s="5"/>
      <c r="F72" s="5"/>
      <c r="G72" s="5"/>
    </row>
    <row r="73" spans="5:7">
      <c r="E73" s="5"/>
      <c r="F73" s="5"/>
      <c r="G73" s="5"/>
    </row>
    <row r="74" spans="5:7">
      <c r="E74" s="5"/>
      <c r="F74" s="5"/>
      <c r="G74" s="5"/>
    </row>
    <row r="75" spans="5:7">
      <c r="E75" s="5"/>
      <c r="F75" s="5"/>
      <c r="G75" s="5"/>
    </row>
    <row r="76" spans="5:7">
      <c r="E76" s="5"/>
      <c r="F76" s="5"/>
      <c r="G76" s="5"/>
    </row>
    <row r="77" spans="5:7">
      <c r="E77" s="5"/>
      <c r="F77" s="5"/>
      <c r="G77" s="5"/>
    </row>
    <row r="78" spans="5:7">
      <c r="E78" s="5"/>
      <c r="F78" s="5"/>
      <c r="G78" s="5"/>
    </row>
    <row r="79" spans="5:7">
      <c r="E79" s="5"/>
      <c r="F79" s="5"/>
      <c r="G79" s="5"/>
    </row>
    <row r="80" spans="5:7">
      <c r="E80" s="5"/>
      <c r="F80" s="5"/>
      <c r="G80" s="5"/>
    </row>
    <row r="81" spans="5:7">
      <c r="E81" s="5"/>
      <c r="F81" s="5"/>
      <c r="G81" s="5"/>
    </row>
    <row r="82" spans="5:7">
      <c r="E82" s="5"/>
      <c r="F82" s="5"/>
      <c r="G82" s="5"/>
    </row>
    <row r="83" spans="5:7">
      <c r="E83" s="5"/>
      <c r="F83" s="5"/>
      <c r="G83" s="5"/>
    </row>
    <row r="84" spans="5:7">
      <c r="E84" s="5"/>
      <c r="F84" s="5"/>
      <c r="G84" s="5"/>
    </row>
    <row r="85" spans="5:7">
      <c r="E85" s="5"/>
      <c r="F85" s="5"/>
      <c r="G85" s="5"/>
    </row>
    <row r="86" spans="5:7">
      <c r="E86" s="5"/>
      <c r="F86" s="5"/>
      <c r="G86" s="5"/>
    </row>
    <row r="87" spans="5:7">
      <c r="E87" s="5"/>
      <c r="F87" s="5"/>
      <c r="G87" s="5"/>
    </row>
    <row r="88" spans="5:7">
      <c r="E88" s="5"/>
      <c r="F88" s="5"/>
      <c r="G88" s="5"/>
    </row>
    <row r="89" spans="5:7">
      <c r="E89" s="5"/>
      <c r="F89" s="5"/>
      <c r="G89" s="5"/>
    </row>
    <row r="90" spans="5:7">
      <c r="E90" s="5"/>
      <c r="F90" s="5"/>
      <c r="G90" s="5"/>
    </row>
    <row r="91" spans="5:7">
      <c r="E91" s="5"/>
      <c r="F91" s="5"/>
      <c r="G91" s="5"/>
    </row>
    <row r="92" spans="5:7">
      <c r="E92" s="5"/>
      <c r="F92" s="5"/>
      <c r="G92" s="5"/>
    </row>
    <row r="93" spans="5:7">
      <c r="E93" s="5"/>
      <c r="F93" s="5"/>
      <c r="G93" s="5"/>
    </row>
    <row r="94" spans="5:7">
      <c r="E94" s="5"/>
      <c r="F94" s="5"/>
      <c r="G94" s="5"/>
    </row>
    <row r="95" spans="5:7">
      <c r="E95" s="5"/>
      <c r="F95" s="5"/>
      <c r="G95" s="5"/>
    </row>
    <row r="96" spans="5:7">
      <c r="E96" s="5"/>
      <c r="F96" s="5"/>
      <c r="G96" s="5"/>
    </row>
    <row r="97" spans="5:7">
      <c r="E97" s="5"/>
      <c r="F97" s="5"/>
      <c r="G97" s="5"/>
    </row>
    <row r="98" spans="5:7">
      <c r="E98" s="5"/>
      <c r="F98" s="5"/>
      <c r="G98" s="5"/>
    </row>
    <row r="99" spans="5:7">
      <c r="E99" s="5"/>
      <c r="F99" s="5"/>
      <c r="G99" s="5"/>
    </row>
    <row r="100" spans="5:7">
      <c r="E100" s="5"/>
      <c r="F100" s="5"/>
      <c r="G100" s="5"/>
    </row>
    <row r="101" spans="5:7">
      <c r="E101" s="5"/>
      <c r="F101" s="5"/>
      <c r="G101" s="5"/>
    </row>
    <row r="102" spans="5:7">
      <c r="E102" s="5"/>
      <c r="F102" s="5"/>
      <c r="G102" s="5"/>
    </row>
    <row r="103" spans="5:7">
      <c r="E103" s="5"/>
      <c r="F103" s="5"/>
      <c r="G103" s="5"/>
    </row>
    <row r="104" spans="5:7">
      <c r="E104" s="5"/>
      <c r="F104" s="5"/>
      <c r="G104" s="5"/>
    </row>
    <row r="105" spans="5:7">
      <c r="E105" s="5"/>
      <c r="F105" s="5"/>
      <c r="G105" s="5"/>
    </row>
    <row r="106" spans="5:7">
      <c r="E106" s="5"/>
      <c r="F106" s="5"/>
      <c r="G106" s="5"/>
    </row>
    <row r="107" spans="5:7">
      <c r="E107" s="5"/>
      <c r="F107" s="5"/>
      <c r="G107" s="5"/>
    </row>
    <row r="108" spans="5:7">
      <c r="E108" s="5"/>
      <c r="F108" s="5"/>
      <c r="G108" s="5"/>
    </row>
    <row r="109" spans="5:7">
      <c r="E109" s="5"/>
      <c r="F109" s="5"/>
      <c r="G109" s="5"/>
    </row>
    <row r="110" spans="5:7">
      <c r="E110" s="5"/>
      <c r="F110" s="5"/>
      <c r="G110" s="5"/>
    </row>
    <row r="111" spans="5:7">
      <c r="E111" s="5"/>
      <c r="F111" s="5"/>
      <c r="G111" s="5"/>
    </row>
    <row r="112" spans="5:7">
      <c r="E112" s="5"/>
      <c r="F112" s="5"/>
      <c r="G112" s="5"/>
    </row>
    <row r="113" spans="5:7">
      <c r="E113" s="5"/>
      <c r="F113" s="5"/>
      <c r="G113" s="5"/>
    </row>
    <row r="114" spans="5:7">
      <c r="E114" s="5"/>
      <c r="F114" s="5"/>
      <c r="G114" s="5"/>
    </row>
    <row r="115" spans="5:7">
      <c r="E115" s="5"/>
      <c r="F115" s="5"/>
      <c r="G115" s="5"/>
    </row>
    <row r="116" spans="5:7">
      <c r="E116" s="5"/>
      <c r="F116" s="5"/>
      <c r="G116" s="5"/>
    </row>
    <row r="117" spans="5:7">
      <c r="E117" s="5"/>
      <c r="F117" s="5"/>
      <c r="G117" s="5"/>
    </row>
    <row r="118" spans="5:7">
      <c r="E118" s="5"/>
      <c r="F118" s="5"/>
      <c r="G118" s="5"/>
    </row>
    <row r="119" spans="5:7">
      <c r="E119" s="5"/>
      <c r="F119" s="5"/>
      <c r="G119" s="5"/>
    </row>
    <row r="120" spans="5:7">
      <c r="E120" s="5"/>
      <c r="F120" s="5"/>
      <c r="G120" s="5"/>
    </row>
    <row r="121" spans="5:7">
      <c r="E121" s="5"/>
      <c r="F121" s="5"/>
      <c r="G121" s="5"/>
    </row>
    <row r="122" spans="5:7">
      <c r="E122" s="5"/>
      <c r="F122" s="5"/>
      <c r="G122" s="5"/>
    </row>
    <row r="123" spans="5:7">
      <c r="E123" s="5"/>
      <c r="F123" s="5"/>
      <c r="G123" s="5"/>
    </row>
    <row r="124" spans="5:7">
      <c r="E124" s="5"/>
      <c r="F124" s="5"/>
      <c r="G124" s="5"/>
    </row>
    <row r="125" spans="5:7">
      <c r="E125" s="5"/>
      <c r="F125" s="5"/>
      <c r="G125" s="5"/>
    </row>
    <row r="126" spans="5:7">
      <c r="E126" s="5"/>
      <c r="F126" s="5"/>
      <c r="G126" s="5"/>
    </row>
    <row r="127" spans="5:7">
      <c r="E127" s="5"/>
      <c r="F127" s="5"/>
      <c r="G127" s="5"/>
    </row>
    <row r="128" spans="5:7">
      <c r="E128" s="5"/>
      <c r="F128" s="5"/>
      <c r="G128" s="5"/>
    </row>
    <row r="129" spans="5:7">
      <c r="E129" s="5"/>
      <c r="F129" s="5"/>
      <c r="G129" s="5"/>
    </row>
    <row r="130" spans="5:7">
      <c r="E130" s="5"/>
      <c r="F130" s="5"/>
      <c r="G130" s="5"/>
    </row>
    <row r="131" spans="5:7">
      <c r="E131" s="5"/>
      <c r="F131" s="5"/>
      <c r="G131" s="5"/>
    </row>
    <row r="132" spans="5:7">
      <c r="E132" s="5"/>
      <c r="F132" s="5"/>
      <c r="G132" s="5"/>
    </row>
    <row r="133" spans="5:7">
      <c r="E133" s="5"/>
      <c r="F133" s="5"/>
      <c r="G133" s="5"/>
    </row>
    <row r="134" spans="5:7">
      <c r="E134" s="5"/>
      <c r="F134" s="5"/>
      <c r="G134" s="5"/>
    </row>
    <row r="135" spans="5:7">
      <c r="E135" s="5"/>
      <c r="F135" s="5"/>
      <c r="G135" s="5"/>
    </row>
    <row r="136" spans="5:7">
      <c r="E136" s="5"/>
      <c r="F136" s="5"/>
      <c r="G136" s="5"/>
    </row>
    <row r="137" spans="5:7">
      <c r="E137" s="5"/>
      <c r="F137" s="5"/>
      <c r="G137" s="5"/>
    </row>
    <row r="138" spans="5:7">
      <c r="E138" s="5"/>
      <c r="F138" s="5"/>
      <c r="G138" s="5"/>
    </row>
    <row r="139" spans="5:7">
      <c r="E139" s="5"/>
      <c r="F139" s="5"/>
      <c r="G139" s="5"/>
    </row>
    <row r="140" spans="5:7">
      <c r="E140" s="5"/>
      <c r="F140" s="5"/>
      <c r="G140" s="5"/>
    </row>
    <row r="141" spans="5:7">
      <c r="E141" s="5"/>
      <c r="F141" s="5"/>
      <c r="G141" s="5"/>
    </row>
    <row r="142" spans="5:7">
      <c r="E142" s="5"/>
      <c r="F142" s="5"/>
      <c r="G142" s="5"/>
    </row>
    <row r="143" spans="5:7">
      <c r="E143" s="5"/>
      <c r="F143" s="5"/>
      <c r="G143" s="5"/>
    </row>
    <row r="144" spans="5:7">
      <c r="E144" s="5"/>
      <c r="F144" s="5"/>
      <c r="G144" s="5"/>
    </row>
    <row r="145" spans="5:7">
      <c r="E145" s="5"/>
      <c r="F145" s="5"/>
      <c r="G145" s="5"/>
    </row>
    <row r="146" spans="5:7">
      <c r="E146" s="5"/>
      <c r="F146" s="5"/>
      <c r="G146" s="5"/>
    </row>
    <row r="147" spans="5:7">
      <c r="E147" s="5"/>
      <c r="F147" s="5"/>
      <c r="G147" s="5"/>
    </row>
    <row r="148" spans="5:7">
      <c r="E148" s="5"/>
      <c r="F148" s="5"/>
      <c r="G148" s="5"/>
    </row>
    <row r="149" spans="5:7">
      <c r="E149" s="5"/>
      <c r="F149" s="5"/>
      <c r="G149" s="5"/>
    </row>
    <row r="150" spans="5:7">
      <c r="E150" s="5"/>
      <c r="F150" s="5"/>
      <c r="G150" s="5"/>
    </row>
    <row r="151" spans="5:7">
      <c r="E151" s="5"/>
      <c r="F151" s="5"/>
      <c r="G151" s="5"/>
    </row>
    <row r="152" spans="5:7">
      <c r="E152" s="5"/>
      <c r="F152" s="5"/>
      <c r="G152" s="5"/>
    </row>
    <row r="153" spans="5:7">
      <c r="E153" s="5"/>
      <c r="F153" s="5"/>
      <c r="G153" s="5"/>
    </row>
    <row r="154" spans="5:7">
      <c r="E154" s="5"/>
      <c r="F154" s="5"/>
      <c r="G154" s="5"/>
    </row>
    <row r="155" spans="5:7">
      <c r="E155" s="5"/>
      <c r="F155" s="5"/>
      <c r="G155" s="5"/>
    </row>
    <row r="156" spans="5:7">
      <c r="E156" s="5"/>
      <c r="F156" s="5"/>
      <c r="G156" s="5"/>
    </row>
    <row r="157" spans="5:7">
      <c r="E157" s="5"/>
      <c r="F157" s="5"/>
      <c r="G157" s="5"/>
    </row>
    <row r="158" spans="5:7">
      <c r="E158" s="5"/>
      <c r="F158" s="5"/>
      <c r="G158" s="5"/>
    </row>
    <row r="159" spans="5:7">
      <c r="E159" s="5"/>
      <c r="F159" s="5"/>
      <c r="G159" s="5"/>
    </row>
    <row r="160" spans="5:7">
      <c r="E160" s="5"/>
      <c r="F160" s="5"/>
      <c r="G160" s="5"/>
    </row>
    <row r="161" spans="5:7">
      <c r="E161" s="5"/>
      <c r="F161" s="5"/>
      <c r="G161" s="5"/>
    </row>
    <row r="162" spans="5:7">
      <c r="E162" s="5"/>
      <c r="F162" s="5"/>
      <c r="G162" s="5"/>
    </row>
    <row r="163" spans="5:7">
      <c r="E163" s="5"/>
      <c r="F163" s="5"/>
      <c r="G163" s="5"/>
    </row>
    <row r="164" spans="5:7">
      <c r="E164" s="5"/>
      <c r="F164" s="5"/>
      <c r="G164" s="5"/>
    </row>
    <row r="165" spans="5:7">
      <c r="E165" s="5"/>
      <c r="F165" s="5"/>
      <c r="G165" s="5"/>
    </row>
    <row r="166" spans="5:7">
      <c r="E166" s="5"/>
      <c r="F166" s="5"/>
      <c r="G166" s="5"/>
    </row>
    <row r="167" spans="5:7">
      <c r="E167" s="5"/>
      <c r="F167" s="5"/>
      <c r="G167" s="5"/>
    </row>
    <row r="168" spans="5:7">
      <c r="E168" s="5"/>
      <c r="F168" s="5"/>
      <c r="G168" s="5"/>
    </row>
    <row r="169" spans="5:7">
      <c r="E169" s="5"/>
      <c r="F169" s="5"/>
      <c r="G169" s="5"/>
    </row>
    <row r="170" spans="5:7">
      <c r="E170" s="5"/>
      <c r="F170" s="5"/>
      <c r="G170" s="5"/>
    </row>
    <row r="171" spans="5:7">
      <c r="E171" s="5"/>
      <c r="F171" s="5"/>
      <c r="G171" s="5"/>
    </row>
    <row r="172" spans="5:7">
      <c r="E172" s="5"/>
      <c r="F172" s="5"/>
      <c r="G172" s="5"/>
    </row>
    <row r="173" spans="5:7">
      <c r="E173" s="5"/>
      <c r="F173" s="5"/>
      <c r="G173" s="5"/>
    </row>
    <row r="174" spans="5:7">
      <c r="E174" s="5"/>
      <c r="F174" s="5"/>
      <c r="G174" s="5"/>
    </row>
    <row r="175" spans="5:7">
      <c r="E175" s="5"/>
      <c r="F175" s="5"/>
      <c r="G175" s="5"/>
    </row>
    <row r="176" spans="5:7">
      <c r="E176" s="5"/>
      <c r="F176" s="5"/>
      <c r="G176" s="5"/>
    </row>
    <row r="177" spans="5:7">
      <c r="E177" s="5"/>
      <c r="F177" s="5"/>
      <c r="G177" s="5"/>
    </row>
    <row r="178" spans="5:7">
      <c r="E178" s="5"/>
      <c r="F178" s="5"/>
      <c r="G178" s="5"/>
    </row>
    <row r="179" spans="5:7">
      <c r="E179" s="5"/>
      <c r="F179" s="5"/>
      <c r="G179" s="5"/>
    </row>
    <row r="180" spans="5:7">
      <c r="E180" s="5"/>
      <c r="F180" s="5"/>
      <c r="G180" s="5"/>
    </row>
    <row r="181" spans="5:7">
      <c r="E181" s="5"/>
      <c r="F181" s="5"/>
      <c r="G181" s="5"/>
    </row>
    <row r="182" spans="5:7">
      <c r="E182" s="5"/>
      <c r="F182" s="5"/>
      <c r="G182" s="5"/>
    </row>
    <row r="183" spans="5:7">
      <c r="E183" s="5"/>
      <c r="F183" s="5"/>
      <c r="G183" s="5"/>
    </row>
    <row r="184" spans="5:7">
      <c r="E184" s="5"/>
      <c r="F184" s="5"/>
      <c r="G184" s="5"/>
    </row>
    <row r="185" spans="5:7">
      <c r="E185" s="5"/>
      <c r="F185" s="5"/>
      <c r="G185" s="5"/>
    </row>
    <row r="186" spans="5:7">
      <c r="E186" s="5"/>
      <c r="F186" s="5"/>
      <c r="G186" s="5"/>
    </row>
    <row r="187" spans="5:7">
      <c r="E187" s="5"/>
      <c r="F187" s="5"/>
      <c r="G187" s="5"/>
    </row>
    <row r="188" spans="5:7">
      <c r="E188" s="5"/>
      <c r="F188" s="5"/>
      <c r="G188" s="5"/>
    </row>
    <row r="189" spans="5:7">
      <c r="E189" s="5"/>
      <c r="F189" s="5"/>
      <c r="G189" s="5"/>
    </row>
    <row r="190" spans="5:7">
      <c r="E190" s="5"/>
      <c r="F190" s="5"/>
      <c r="G190" s="5"/>
    </row>
    <row r="191" spans="5:7">
      <c r="E191" s="5"/>
      <c r="F191" s="5"/>
      <c r="G191" s="5"/>
    </row>
    <row r="192" spans="5:7">
      <c r="E192" s="5"/>
      <c r="F192" s="5"/>
      <c r="G192" s="5"/>
    </row>
    <row r="193" spans="5:7">
      <c r="E193" s="5"/>
      <c r="F193" s="5"/>
      <c r="G193" s="5"/>
    </row>
    <row r="194" spans="5:7">
      <c r="E194" s="5"/>
      <c r="F194" s="5"/>
      <c r="G194" s="5"/>
    </row>
    <row r="195" spans="5:7">
      <c r="E195" s="5"/>
      <c r="F195" s="5"/>
      <c r="G195" s="5"/>
    </row>
    <row r="196" spans="5:7">
      <c r="E196" s="5"/>
      <c r="F196" s="5"/>
      <c r="G196" s="5"/>
    </row>
    <row r="197" spans="5:7">
      <c r="E197" s="5"/>
      <c r="F197" s="5"/>
      <c r="G197" s="5"/>
    </row>
    <row r="198" spans="5:7">
      <c r="E198" s="5"/>
      <c r="F198" s="5"/>
      <c r="G198" s="5"/>
    </row>
    <row r="199" spans="5:7">
      <c r="E199" s="5"/>
      <c r="F199" s="5"/>
      <c r="G199" s="5"/>
    </row>
    <row r="200" spans="5:7">
      <c r="E200" s="5"/>
      <c r="F200" s="5"/>
      <c r="G200" s="5"/>
    </row>
    <row r="201" spans="5:7">
      <c r="E201" s="5"/>
      <c r="F201" s="5"/>
      <c r="G201" s="5"/>
    </row>
    <row r="202" spans="5:7">
      <c r="E202" s="5"/>
      <c r="F202" s="5"/>
      <c r="G202" s="5"/>
    </row>
    <row r="203" spans="5:7">
      <c r="E203" s="5"/>
      <c r="F203" s="5"/>
      <c r="G203" s="5"/>
    </row>
    <row r="204" spans="5:7">
      <c r="E204" s="5"/>
      <c r="F204" s="5"/>
      <c r="G204" s="5"/>
    </row>
    <row r="205" spans="5:7">
      <c r="E205" s="5"/>
      <c r="F205" s="5"/>
      <c r="G205" s="5"/>
    </row>
    <row r="206" spans="5:7">
      <c r="E206" s="5"/>
      <c r="F206" s="5"/>
      <c r="G206" s="5"/>
    </row>
    <row r="207" spans="5:7">
      <c r="E207" s="5"/>
      <c r="F207" s="5"/>
      <c r="G207" s="5"/>
    </row>
    <row r="208" spans="5:7">
      <c r="E208" s="5"/>
      <c r="F208" s="5"/>
      <c r="G208" s="5"/>
    </row>
    <row r="209" spans="5:7">
      <c r="E209" s="5"/>
      <c r="F209" s="5"/>
      <c r="G209" s="5"/>
    </row>
    <row r="210" spans="5:7">
      <c r="E210" s="5"/>
      <c r="F210" s="5"/>
      <c r="G210" s="5"/>
    </row>
    <row r="211" spans="5:7">
      <c r="E211" s="5"/>
      <c r="F211" s="5"/>
      <c r="G211" s="5"/>
    </row>
    <row r="212" spans="5:7">
      <c r="E212" s="5"/>
      <c r="F212" s="5"/>
      <c r="G212" s="5"/>
    </row>
    <row r="213" spans="5:7">
      <c r="E213" s="5"/>
      <c r="F213" s="5"/>
      <c r="G213" s="5"/>
    </row>
    <row r="214" spans="5:7">
      <c r="E214" s="5"/>
      <c r="F214" s="5"/>
      <c r="G214" s="5"/>
    </row>
    <row r="215" spans="5:7">
      <c r="E215" s="5"/>
      <c r="F215" s="5"/>
      <c r="G215" s="5"/>
    </row>
    <row r="216" spans="5:7">
      <c r="E216" s="5"/>
      <c r="F216" s="5"/>
      <c r="G216" s="5"/>
    </row>
    <row r="217" spans="5:7">
      <c r="E217" s="5"/>
      <c r="F217" s="5"/>
      <c r="G217" s="5"/>
    </row>
    <row r="218" spans="5:7">
      <c r="E218" s="5"/>
      <c r="F218" s="5"/>
      <c r="G218" s="5"/>
    </row>
    <row r="219" spans="5:7">
      <c r="E219" s="5"/>
      <c r="F219" s="5"/>
      <c r="G219" s="5"/>
    </row>
    <row r="220" spans="5:7">
      <c r="E220" s="5"/>
      <c r="F220" s="5"/>
      <c r="G220" s="5"/>
    </row>
    <row r="221" spans="5:7">
      <c r="E221" s="5"/>
      <c r="F221" s="5"/>
      <c r="G221" s="5"/>
    </row>
    <row r="222" spans="5:7">
      <c r="E222" s="5"/>
      <c r="F222" s="5"/>
      <c r="G222" s="5"/>
    </row>
    <row r="223" spans="5:7">
      <c r="E223" s="5"/>
      <c r="F223" s="5"/>
      <c r="G223" s="5"/>
    </row>
    <row r="224" spans="5:7">
      <c r="E224" s="5"/>
      <c r="F224" s="5"/>
      <c r="G224" s="5"/>
    </row>
    <row r="225" spans="5:7">
      <c r="E225" s="5"/>
      <c r="F225" s="5"/>
      <c r="G225" s="5"/>
    </row>
    <row r="226" spans="5:7">
      <c r="E226" s="5"/>
      <c r="F226" s="5"/>
      <c r="G226" s="5"/>
    </row>
    <row r="227" spans="5:7">
      <c r="E227" s="5"/>
      <c r="F227" s="5"/>
      <c r="G227" s="5"/>
    </row>
    <row r="228" spans="5:7">
      <c r="E228" s="5"/>
      <c r="F228" s="5"/>
      <c r="G228" s="5"/>
    </row>
    <row r="229" spans="5:7">
      <c r="E229" s="5"/>
      <c r="F229" s="5"/>
      <c r="G229" s="5"/>
    </row>
    <row r="230" spans="5:7">
      <c r="E230" s="5"/>
      <c r="F230" s="5"/>
      <c r="G230" s="5"/>
    </row>
    <row r="231" spans="5:7">
      <c r="E231" s="5"/>
      <c r="F231" s="5"/>
      <c r="G231" s="5"/>
    </row>
    <row r="232" spans="5:7">
      <c r="E232" s="5"/>
      <c r="F232" s="5"/>
      <c r="G232" s="5"/>
    </row>
    <row r="233" spans="5:7">
      <c r="E233" s="5"/>
      <c r="F233" s="5"/>
      <c r="G233" s="5"/>
    </row>
    <row r="234" spans="5:7">
      <c r="E234" s="5"/>
      <c r="F234" s="5"/>
      <c r="G234" s="5"/>
    </row>
    <row r="235" spans="5:7">
      <c r="E235" s="5"/>
      <c r="F235" s="5"/>
      <c r="G235" s="5"/>
    </row>
    <row r="236" spans="5:7">
      <c r="E236" s="5"/>
      <c r="F236" s="5"/>
      <c r="G236" s="5"/>
    </row>
    <row r="237" spans="5:7">
      <c r="E237" s="5"/>
      <c r="F237" s="5"/>
      <c r="G237" s="5"/>
    </row>
    <row r="238" spans="5:7">
      <c r="E238" s="5"/>
      <c r="F238" s="5"/>
      <c r="G238" s="5"/>
    </row>
    <row r="239" spans="5:7">
      <c r="E239" s="5"/>
      <c r="F239" s="5"/>
      <c r="G239" s="5"/>
    </row>
    <row r="240" spans="5:7">
      <c r="E240" s="5"/>
      <c r="F240" s="5"/>
      <c r="G240" s="5"/>
    </row>
    <row r="241" spans="5:7">
      <c r="E241" s="5"/>
      <c r="F241" s="5"/>
      <c r="G241" s="5"/>
    </row>
    <row r="242" spans="5:7">
      <c r="E242" s="5"/>
      <c r="F242" s="5"/>
      <c r="G242" s="5"/>
    </row>
    <row r="243" spans="5:7">
      <c r="E243" s="5"/>
      <c r="F243" s="5"/>
      <c r="G243" s="5"/>
    </row>
    <row r="244" spans="5:7">
      <c r="E244" s="5"/>
      <c r="F244" s="5"/>
      <c r="G244" s="5"/>
    </row>
    <row r="245" spans="5:7">
      <c r="E245" s="5"/>
      <c r="F245" s="5"/>
      <c r="G245" s="5"/>
    </row>
    <row r="246" spans="5:7">
      <c r="E246" s="5"/>
      <c r="F246" s="5"/>
      <c r="G246" s="5"/>
    </row>
    <row r="247" spans="5:7">
      <c r="E247" s="5"/>
      <c r="F247" s="5"/>
      <c r="G247" s="5"/>
    </row>
    <row r="248" spans="5:7">
      <c r="E248" s="5"/>
      <c r="F248" s="5"/>
      <c r="G248" s="5"/>
    </row>
    <row r="249" spans="5:7">
      <c r="E249" s="5"/>
      <c r="F249" s="5"/>
      <c r="G249" s="5"/>
    </row>
    <row r="250" spans="5:7">
      <c r="E250" s="5"/>
      <c r="F250" s="5"/>
      <c r="G250" s="5"/>
    </row>
    <row r="251" spans="5:7">
      <c r="E251" s="5"/>
      <c r="F251" s="5"/>
      <c r="G251" s="5"/>
    </row>
    <row r="252" spans="5:7">
      <c r="E252" s="5"/>
      <c r="F252" s="5"/>
      <c r="G252" s="5"/>
    </row>
    <row r="253" spans="5:7">
      <c r="E253" s="5"/>
      <c r="F253" s="5"/>
      <c r="G253" s="5"/>
    </row>
    <row r="254" spans="5:7">
      <c r="E254" s="5"/>
      <c r="F254" s="5"/>
      <c r="G254" s="5"/>
    </row>
    <row r="255" spans="5:7">
      <c r="E255" s="5"/>
      <c r="F255" s="5"/>
      <c r="G255" s="5"/>
    </row>
    <row r="256" spans="5:7">
      <c r="E256" s="5"/>
      <c r="F256" s="5"/>
      <c r="G256" s="5"/>
    </row>
    <row r="257" spans="5:7">
      <c r="E257" s="5"/>
      <c r="F257" s="5"/>
      <c r="G257" s="5"/>
    </row>
    <row r="258" spans="5:7">
      <c r="E258" s="5"/>
      <c r="F258" s="5"/>
      <c r="G258" s="5"/>
    </row>
    <row r="259" spans="5:7">
      <c r="E259" s="5"/>
      <c r="F259" s="5"/>
      <c r="G259" s="5"/>
    </row>
    <row r="260" spans="5:7">
      <c r="E260" s="5"/>
      <c r="F260" s="5"/>
      <c r="G260" s="5"/>
    </row>
    <row r="261" spans="5:7">
      <c r="E261" s="5"/>
      <c r="F261" s="5"/>
      <c r="G261" s="5"/>
    </row>
    <row r="262" spans="5:7">
      <c r="E262" s="5"/>
      <c r="F262" s="5"/>
      <c r="G262" s="5"/>
    </row>
    <row r="263" spans="5:7">
      <c r="E263" s="5"/>
      <c r="F263" s="5"/>
      <c r="G263" s="5"/>
    </row>
    <row r="264" spans="5:7">
      <c r="E264" s="5"/>
      <c r="F264" s="5"/>
      <c r="G264" s="5"/>
    </row>
    <row r="265" spans="5:7">
      <c r="E265" s="5"/>
      <c r="F265" s="5"/>
      <c r="G265" s="5"/>
    </row>
    <row r="266" spans="5:7">
      <c r="E266" s="5"/>
      <c r="F266" s="5"/>
      <c r="G266" s="5"/>
    </row>
    <row r="267" spans="5:7">
      <c r="E267" s="5"/>
      <c r="F267" s="5"/>
      <c r="G267" s="5"/>
    </row>
    <row r="268" spans="5:7">
      <c r="E268" s="5"/>
      <c r="F268" s="5"/>
      <c r="G268" s="5"/>
    </row>
    <row r="269" spans="5:7">
      <c r="E269" s="5"/>
      <c r="F269" s="5"/>
      <c r="G269" s="5"/>
    </row>
    <row r="270" spans="5:7">
      <c r="E270" s="5"/>
      <c r="F270" s="5"/>
      <c r="G270" s="5"/>
    </row>
    <row r="271" spans="5:7">
      <c r="E271" s="5"/>
      <c r="F271" s="5"/>
      <c r="G271" s="5"/>
    </row>
    <row r="272" spans="5:7">
      <c r="E272" s="5"/>
      <c r="F272" s="5"/>
      <c r="G272" s="5"/>
    </row>
    <row r="273" spans="5:7">
      <c r="E273" s="5"/>
      <c r="F273" s="5"/>
      <c r="G273" s="5"/>
    </row>
    <row r="274" spans="5:7">
      <c r="E274" s="5"/>
      <c r="F274" s="5"/>
      <c r="G274" s="5"/>
    </row>
    <row r="275" spans="5:7">
      <c r="E275" s="5"/>
      <c r="F275" s="5"/>
      <c r="G275" s="5"/>
    </row>
    <row r="276" spans="5:7">
      <c r="E276" s="5"/>
      <c r="F276" s="5"/>
      <c r="G276" s="5"/>
    </row>
    <row r="277" spans="5:7">
      <c r="E277" s="5"/>
      <c r="F277" s="5"/>
      <c r="G277" s="5"/>
    </row>
    <row r="278" spans="5:7">
      <c r="E278" s="5"/>
      <c r="F278" s="5"/>
      <c r="G278" s="5"/>
    </row>
    <row r="279" spans="5:7">
      <c r="E279" s="5"/>
      <c r="F279" s="5"/>
      <c r="G279" s="5"/>
    </row>
    <row r="280" spans="5:7">
      <c r="E280" s="5"/>
      <c r="F280" s="5"/>
      <c r="G280" s="5"/>
    </row>
    <row r="281" spans="5:7">
      <c r="E281" s="5"/>
      <c r="F281" s="5"/>
      <c r="G281" s="5"/>
    </row>
    <row r="282" spans="5:7">
      <c r="E282" s="5"/>
      <c r="F282" s="5"/>
      <c r="G282" s="5"/>
    </row>
    <row r="283" spans="5:7">
      <c r="E283" s="5"/>
      <c r="F283" s="5"/>
      <c r="G283" s="5"/>
    </row>
    <row r="284" spans="5:7">
      <c r="E284" s="5"/>
      <c r="F284" s="5"/>
      <c r="G284" s="5"/>
    </row>
    <row r="285" spans="5:7">
      <c r="E285" s="5"/>
      <c r="F285" s="5"/>
      <c r="G285" s="5"/>
    </row>
    <row r="286" spans="5:7">
      <c r="E286" s="5"/>
      <c r="F286" s="5"/>
      <c r="G286" s="5"/>
    </row>
    <row r="287" spans="5:7">
      <c r="E287" s="5"/>
      <c r="F287" s="5"/>
      <c r="G287" s="5"/>
    </row>
    <row r="288" spans="5:7">
      <c r="E288" s="5"/>
      <c r="F288" s="5"/>
      <c r="G288" s="5"/>
    </row>
    <row r="289" spans="5:7">
      <c r="E289" s="5"/>
      <c r="F289" s="5"/>
      <c r="G289" s="5"/>
    </row>
    <row r="290" spans="5:7">
      <c r="E290" s="5"/>
      <c r="F290" s="5"/>
      <c r="G290" s="5"/>
    </row>
    <row r="291" spans="5:7">
      <c r="E291" s="5"/>
      <c r="F291" s="5"/>
      <c r="G291" s="5"/>
    </row>
    <row r="292" spans="5:7">
      <c r="E292" s="5"/>
      <c r="F292" s="5"/>
      <c r="G292" s="5"/>
    </row>
    <row r="293" spans="5:7">
      <c r="E293" s="5"/>
      <c r="F293" s="5"/>
      <c r="G293" s="5"/>
    </row>
    <row r="294" spans="5:7">
      <c r="E294" s="5"/>
      <c r="F294" s="5"/>
      <c r="G294" s="5"/>
    </row>
    <row r="295" spans="5:7">
      <c r="E295" s="5"/>
      <c r="F295" s="5"/>
      <c r="G295" s="5"/>
    </row>
    <row r="296" spans="5:7">
      <c r="E296" s="5"/>
      <c r="F296" s="5"/>
      <c r="G296" s="5"/>
    </row>
    <row r="297" spans="5:7">
      <c r="E297" s="5"/>
      <c r="F297" s="5"/>
      <c r="G297" s="5"/>
    </row>
    <row r="298" spans="5:7">
      <c r="E298" s="5"/>
      <c r="F298" s="5"/>
      <c r="G298" s="5"/>
    </row>
    <row r="299" spans="5:7">
      <c r="E299" s="5"/>
      <c r="F299" s="5"/>
      <c r="G299" s="5"/>
    </row>
    <row r="300" spans="5:7">
      <c r="E300" s="5"/>
      <c r="F300" s="5"/>
      <c r="G300" s="5"/>
    </row>
    <row r="301" spans="5:7">
      <c r="E301" s="5"/>
      <c r="F301" s="5"/>
      <c r="G301" s="5"/>
    </row>
    <row r="302" spans="5:7">
      <c r="E302" s="5"/>
      <c r="F302" s="5"/>
      <c r="G302" s="5"/>
    </row>
    <row r="303" spans="5:7">
      <c r="E303" s="5"/>
      <c r="F303" s="5"/>
      <c r="G303" s="5"/>
    </row>
    <row r="304" spans="5:7">
      <c r="E304" s="5"/>
      <c r="F304" s="5"/>
      <c r="G304" s="5"/>
    </row>
    <row r="305" spans="5:7">
      <c r="E305" s="5"/>
      <c r="F305" s="5"/>
      <c r="G305" s="5"/>
    </row>
    <row r="306" spans="5:7">
      <c r="E306" s="5"/>
      <c r="F306" s="5"/>
      <c r="G306" s="5"/>
    </row>
    <row r="307" spans="5:7">
      <c r="E307" s="5"/>
      <c r="F307" s="5"/>
      <c r="G307" s="5"/>
    </row>
    <row r="308" spans="5:7">
      <c r="E308" s="5"/>
      <c r="F308" s="5"/>
      <c r="G308" s="5"/>
    </row>
    <row r="309" spans="5:7">
      <c r="E309" s="5"/>
      <c r="F309" s="5"/>
      <c r="G309" s="5"/>
    </row>
    <row r="310" spans="5:7">
      <c r="E310" s="5"/>
      <c r="F310" s="5"/>
      <c r="G310" s="5"/>
    </row>
    <row r="311" spans="5:7">
      <c r="E311" s="5"/>
      <c r="F311" s="5"/>
      <c r="G311" s="5"/>
    </row>
    <row r="312" spans="5:7">
      <c r="E312" s="5"/>
      <c r="F312" s="5"/>
      <c r="G312" s="5"/>
    </row>
    <row r="313" spans="5:7">
      <c r="E313" s="5"/>
      <c r="F313" s="5"/>
      <c r="G313" s="5"/>
    </row>
    <row r="314" spans="5:7">
      <c r="E314" s="5"/>
      <c r="F314" s="5"/>
      <c r="G314" s="5"/>
    </row>
    <row r="315" spans="5:7">
      <c r="E315" s="5"/>
      <c r="F315" s="5"/>
      <c r="G315" s="5"/>
    </row>
    <row r="316" spans="5:7">
      <c r="E316" s="5"/>
      <c r="F316" s="5"/>
      <c r="G316" s="5"/>
    </row>
    <row r="317" spans="5:7">
      <c r="E317" s="5"/>
      <c r="F317" s="5"/>
      <c r="G317" s="5"/>
    </row>
    <row r="318" spans="5:7">
      <c r="E318" s="5"/>
      <c r="F318" s="5"/>
      <c r="G318" s="5"/>
    </row>
    <row r="319" spans="5:7">
      <c r="E319" s="5"/>
      <c r="F319" s="5"/>
      <c r="G319" s="5"/>
    </row>
    <row r="320" spans="5:7">
      <c r="E320" s="5"/>
      <c r="F320" s="5"/>
      <c r="G320" s="5"/>
    </row>
    <row r="321" spans="5:7">
      <c r="E321" s="5"/>
      <c r="F321" s="5"/>
      <c r="G321" s="5"/>
    </row>
    <row r="322" spans="5:7">
      <c r="E322" s="5"/>
      <c r="F322" s="5"/>
      <c r="G322" s="5"/>
    </row>
    <row r="323" spans="5:7">
      <c r="E323" s="5"/>
      <c r="F323" s="5"/>
      <c r="G323" s="5"/>
    </row>
    <row r="324" spans="5:7">
      <c r="E324" s="5"/>
      <c r="F324" s="5"/>
      <c r="G324" s="5"/>
    </row>
    <row r="325" spans="5:7">
      <c r="E325" s="5"/>
      <c r="F325" s="5"/>
      <c r="G325" s="5"/>
    </row>
    <row r="326" spans="5:7">
      <c r="E326" s="5"/>
      <c r="F326" s="5"/>
      <c r="G326" s="5"/>
    </row>
    <row r="327" spans="5:7">
      <c r="E327" s="5"/>
      <c r="F327" s="5"/>
      <c r="G327" s="5"/>
    </row>
    <row r="328" spans="5:7">
      <c r="E328" s="5"/>
      <c r="F328" s="5"/>
      <c r="G328" s="5"/>
    </row>
    <row r="329" spans="5:7">
      <c r="E329" s="5"/>
      <c r="F329" s="5"/>
      <c r="G329" s="5"/>
    </row>
    <row r="330" spans="5:7">
      <c r="E330" s="5"/>
      <c r="F330" s="5"/>
      <c r="G330" s="5"/>
    </row>
    <row r="331" spans="5:7">
      <c r="E331" s="5"/>
      <c r="F331" s="5"/>
      <c r="G331" s="5"/>
    </row>
    <row r="332" spans="5:7">
      <c r="E332" s="5"/>
      <c r="F332" s="5"/>
      <c r="G332" s="5"/>
    </row>
    <row r="333" spans="5:7">
      <c r="E333" s="5"/>
      <c r="F333" s="5"/>
      <c r="G333" s="5"/>
    </row>
    <row r="334" spans="5:7">
      <c r="E334" s="5"/>
      <c r="F334" s="5"/>
      <c r="G334" s="5"/>
    </row>
    <row r="335" spans="5:7">
      <c r="E335" s="5"/>
      <c r="F335" s="5"/>
      <c r="G335" s="5"/>
    </row>
    <row r="336" spans="5:7">
      <c r="E336" s="5"/>
      <c r="F336" s="5"/>
      <c r="G336" s="5"/>
    </row>
    <row r="337" spans="5:7">
      <c r="E337" s="5"/>
      <c r="F337" s="5"/>
      <c r="G337" s="5"/>
    </row>
    <row r="338" spans="5:7">
      <c r="E338" s="5"/>
      <c r="F338" s="5"/>
      <c r="G338" s="5"/>
    </row>
    <row r="339" spans="5:7">
      <c r="E339" s="5"/>
      <c r="F339" s="5"/>
      <c r="G339" s="5"/>
    </row>
    <row r="340" spans="5:7">
      <c r="E340" s="5"/>
      <c r="F340" s="5"/>
      <c r="G340" s="5"/>
    </row>
    <row r="341" spans="5:7">
      <c r="E341" s="5"/>
      <c r="F341" s="5"/>
      <c r="G341" s="5"/>
    </row>
    <row r="342" spans="5:7">
      <c r="E342" s="5"/>
      <c r="F342" s="5"/>
      <c r="G342" s="5"/>
    </row>
    <row r="343" spans="5:7">
      <c r="E343" s="5"/>
      <c r="F343" s="5"/>
      <c r="G343" s="5"/>
    </row>
    <row r="344" spans="5:7">
      <c r="E344" s="5"/>
      <c r="F344" s="5"/>
      <c r="G344" s="5"/>
    </row>
    <row r="345" spans="5:7">
      <c r="E345" s="5"/>
      <c r="F345" s="5"/>
      <c r="G345" s="5"/>
    </row>
    <row r="346" spans="5:7">
      <c r="E346" s="5"/>
      <c r="F346" s="5"/>
      <c r="G346" s="5"/>
    </row>
    <row r="347" spans="5:7">
      <c r="E347" s="5"/>
      <c r="F347" s="5"/>
      <c r="G347" s="5"/>
    </row>
    <row r="348" spans="5:7">
      <c r="E348" s="5"/>
      <c r="F348" s="5"/>
      <c r="G348" s="5"/>
    </row>
    <row r="349" spans="5:7">
      <c r="E349" s="5"/>
      <c r="F349" s="5"/>
      <c r="G349" s="5"/>
    </row>
    <row r="350" spans="5:7">
      <c r="E350" s="5"/>
      <c r="F350" s="5"/>
      <c r="G350" s="5"/>
    </row>
    <row r="351" spans="5:7">
      <c r="E351" s="5"/>
      <c r="F351" s="5"/>
      <c r="G351" s="5"/>
    </row>
    <row r="352" spans="5:7">
      <c r="E352" s="5"/>
      <c r="F352" s="5"/>
      <c r="G352" s="5"/>
    </row>
    <row r="353" spans="5:7">
      <c r="E353" s="5"/>
      <c r="F353" s="5"/>
      <c r="G353" s="5"/>
    </row>
    <row r="354" spans="5:7">
      <c r="E354" s="5"/>
      <c r="F354" s="5"/>
      <c r="G354" s="5"/>
    </row>
    <row r="355" spans="5:7">
      <c r="E355" s="5"/>
      <c r="F355" s="5"/>
      <c r="G355" s="5"/>
    </row>
    <row r="356" spans="5:7">
      <c r="E356" s="5"/>
      <c r="F356" s="5"/>
      <c r="G356" s="5"/>
    </row>
    <row r="357" spans="5:7">
      <c r="E357" s="5"/>
      <c r="F357" s="5"/>
      <c r="G357" s="5"/>
    </row>
    <row r="358" spans="5:7">
      <c r="E358" s="5"/>
      <c r="F358" s="5"/>
      <c r="G358" s="5"/>
    </row>
    <row r="359" spans="5:7">
      <c r="E359" s="5"/>
      <c r="F359" s="5"/>
      <c r="G359" s="5"/>
    </row>
    <row r="360" spans="5:7">
      <c r="E360" s="5"/>
      <c r="F360" s="5"/>
      <c r="G360" s="5"/>
    </row>
    <row r="361" spans="5:7">
      <c r="E361" s="5"/>
      <c r="F361" s="5"/>
      <c r="G361" s="5"/>
    </row>
    <row r="362" spans="5:7">
      <c r="E362" s="5"/>
      <c r="F362" s="5"/>
      <c r="G362" s="5"/>
    </row>
    <row r="363" spans="5:7">
      <c r="E363" s="5"/>
      <c r="F363" s="5"/>
      <c r="G363" s="5"/>
    </row>
    <row r="364" spans="5:7">
      <c r="E364" s="5"/>
      <c r="F364" s="5"/>
      <c r="G364" s="5"/>
    </row>
    <row r="365" spans="5:7">
      <c r="E365" s="5"/>
      <c r="F365" s="5"/>
      <c r="G365" s="5"/>
    </row>
    <row r="366" spans="5:7">
      <c r="E366" s="5"/>
      <c r="F366" s="5"/>
      <c r="G366" s="5"/>
    </row>
    <row r="367" spans="5:7">
      <c r="E367" s="5"/>
      <c r="F367" s="5"/>
      <c r="G367" s="5"/>
    </row>
    <row r="368" spans="5:7">
      <c r="E368" s="5"/>
      <c r="F368" s="5"/>
      <c r="G368" s="5"/>
    </row>
    <row r="369" spans="5:7">
      <c r="E369" s="5"/>
      <c r="F369" s="5"/>
      <c r="G369" s="5"/>
    </row>
    <row r="370" spans="5:7">
      <c r="E370" s="5"/>
      <c r="F370" s="5"/>
      <c r="G370" s="5"/>
    </row>
    <row r="371" spans="5:7">
      <c r="E371" s="5"/>
      <c r="F371" s="5"/>
      <c r="G371" s="5"/>
    </row>
    <row r="372" spans="5:7">
      <c r="E372" s="5"/>
      <c r="F372" s="5"/>
      <c r="G372" s="5"/>
    </row>
    <row r="373" spans="5:7">
      <c r="E373" s="5"/>
      <c r="F373" s="5"/>
      <c r="G373" s="5"/>
    </row>
    <row r="374" spans="5:7">
      <c r="E374" s="5"/>
      <c r="F374" s="5"/>
      <c r="G374" s="5"/>
    </row>
    <row r="375" spans="5:7">
      <c r="E375" s="5"/>
      <c r="F375" s="5"/>
      <c r="G375" s="5"/>
    </row>
    <row r="376" spans="5:7">
      <c r="E376" s="5"/>
      <c r="F376" s="5"/>
      <c r="G376" s="5"/>
    </row>
    <row r="377" spans="5:7">
      <c r="E377" s="5"/>
      <c r="F377" s="5"/>
      <c r="G377" s="5"/>
    </row>
    <row r="378" spans="5:7">
      <c r="E378" s="5"/>
      <c r="F378" s="5"/>
      <c r="G378" s="5"/>
    </row>
    <row r="379" spans="5:7">
      <c r="E379" s="5"/>
      <c r="F379" s="5"/>
      <c r="G379" s="5"/>
    </row>
    <row r="380" spans="5:7">
      <c r="E380" s="5"/>
      <c r="F380" s="5"/>
      <c r="G380" s="5"/>
    </row>
    <row r="381" spans="5:7">
      <c r="E381" s="5"/>
      <c r="F381" s="5"/>
      <c r="G381" s="5"/>
    </row>
    <row r="382" spans="5:7">
      <c r="E382" s="5"/>
      <c r="F382" s="5"/>
      <c r="G382" s="5"/>
    </row>
    <row r="383" spans="5:7">
      <c r="E383" s="5"/>
      <c r="F383" s="5"/>
      <c r="G383" s="5"/>
    </row>
    <row r="384" spans="5:7">
      <c r="E384" s="5"/>
      <c r="F384" s="5"/>
      <c r="G384" s="5"/>
    </row>
    <row r="385" spans="5:7">
      <c r="E385" s="5"/>
      <c r="F385" s="5"/>
      <c r="G385" s="5"/>
    </row>
    <row r="386" spans="5:7">
      <c r="E386" s="5"/>
      <c r="F386" s="5"/>
      <c r="G386" s="5"/>
    </row>
    <row r="387" spans="5:7">
      <c r="E387" s="5"/>
      <c r="F387" s="5"/>
      <c r="G387" s="5"/>
    </row>
    <row r="388" spans="5:7">
      <c r="E388" s="5"/>
      <c r="F388" s="5"/>
      <c r="G388" s="5"/>
    </row>
    <row r="389" spans="5:7">
      <c r="E389" s="5"/>
      <c r="F389" s="5"/>
      <c r="G389" s="5"/>
    </row>
    <row r="390" spans="5:7">
      <c r="E390" s="5"/>
      <c r="F390" s="5"/>
      <c r="G390" s="5"/>
    </row>
    <row r="391" spans="5:7">
      <c r="E391" s="5"/>
      <c r="F391" s="5"/>
      <c r="G391" s="5"/>
    </row>
    <row r="392" spans="5:7">
      <c r="E392" s="5"/>
      <c r="F392" s="5"/>
      <c r="G392" s="5"/>
    </row>
    <row r="393" spans="5:7">
      <c r="E393" s="5"/>
      <c r="F393" s="5"/>
      <c r="G393" s="5"/>
    </row>
    <row r="394" spans="5:7">
      <c r="E394" s="5"/>
      <c r="F394" s="5"/>
      <c r="G394" s="5"/>
    </row>
    <row r="395" spans="5:7">
      <c r="E395" s="5"/>
      <c r="F395" s="5"/>
      <c r="G395" s="5"/>
    </row>
    <row r="396" spans="5:7">
      <c r="E396" s="5"/>
      <c r="F396" s="5"/>
      <c r="G396" s="5"/>
    </row>
    <row r="397" spans="5:7">
      <c r="E397" s="5"/>
      <c r="F397" s="5"/>
      <c r="G397" s="5"/>
    </row>
    <row r="398" spans="5:7">
      <c r="E398" s="5"/>
      <c r="F398" s="5"/>
      <c r="G398" s="5"/>
    </row>
    <row r="399" spans="5:7">
      <c r="E399" s="5"/>
      <c r="F399" s="5"/>
      <c r="G399" s="5"/>
    </row>
    <row r="400" spans="5:7">
      <c r="E400" s="5"/>
      <c r="F400" s="5"/>
      <c r="G400" s="5"/>
    </row>
    <row r="401" spans="5:7">
      <c r="E401" s="5"/>
      <c r="F401" s="5"/>
      <c r="G401" s="5"/>
    </row>
    <row r="402" spans="5:7">
      <c r="E402" s="5"/>
      <c r="F402" s="5"/>
      <c r="G402" s="5"/>
    </row>
    <row r="403" spans="5:7">
      <c r="E403" s="5"/>
      <c r="F403" s="5"/>
      <c r="G403" s="5"/>
    </row>
    <row r="404" spans="5:7">
      <c r="E404" s="5"/>
      <c r="F404" s="5"/>
      <c r="G404" s="5"/>
    </row>
    <row r="405" spans="5:7">
      <c r="E405" s="5"/>
      <c r="F405" s="5"/>
      <c r="G405" s="5"/>
    </row>
    <row r="406" spans="5:7">
      <c r="E406" s="5"/>
      <c r="F406" s="5"/>
      <c r="G406" s="5"/>
    </row>
    <row r="407" spans="5:7">
      <c r="E407" s="5"/>
      <c r="F407" s="5"/>
      <c r="G407" s="5"/>
    </row>
    <row r="408" spans="5:7">
      <c r="E408" s="5"/>
      <c r="F408" s="5"/>
      <c r="G408" s="5"/>
    </row>
    <row r="409" spans="5:7">
      <c r="E409" s="5"/>
      <c r="F409" s="5"/>
      <c r="G409" s="5"/>
    </row>
    <row r="410" spans="5:7">
      <c r="E410" s="5"/>
      <c r="F410" s="5"/>
      <c r="G410" s="5"/>
    </row>
    <row r="411" spans="5:7">
      <c r="E411" s="5"/>
      <c r="F411" s="5"/>
      <c r="G411" s="5"/>
    </row>
    <row r="412" spans="5:7">
      <c r="E412" s="5"/>
      <c r="F412" s="5"/>
      <c r="G412" s="5"/>
    </row>
    <row r="413" spans="5:7">
      <c r="E413" s="5"/>
      <c r="F413" s="5"/>
      <c r="G413" s="5"/>
    </row>
    <row r="414" spans="5:7">
      <c r="E414" s="5"/>
      <c r="F414" s="5"/>
      <c r="G414" s="5"/>
    </row>
    <row r="415" spans="5:7">
      <c r="E415" s="5"/>
      <c r="F415" s="5"/>
      <c r="G415" s="5"/>
    </row>
    <row r="416" spans="5:7">
      <c r="E416" s="5"/>
      <c r="F416" s="5"/>
      <c r="G416" s="5"/>
    </row>
    <row r="417" spans="5:7">
      <c r="E417" s="5"/>
      <c r="F417" s="5"/>
      <c r="G417" s="5"/>
    </row>
    <row r="418" spans="5:7">
      <c r="E418" s="5"/>
      <c r="F418" s="5"/>
      <c r="G418" s="5"/>
    </row>
    <row r="419" spans="5:7">
      <c r="E419" s="5"/>
      <c r="F419" s="5"/>
      <c r="G419" s="5"/>
    </row>
    <row r="420" spans="5:7">
      <c r="E420" s="5"/>
      <c r="F420" s="5"/>
      <c r="G420" s="5"/>
    </row>
    <row r="421" spans="5:7">
      <c r="E421" s="5"/>
      <c r="F421" s="5"/>
      <c r="G421" s="5"/>
    </row>
    <row r="422" spans="5:7">
      <c r="E422" s="5"/>
      <c r="F422" s="5"/>
      <c r="G422" s="5"/>
    </row>
    <row r="423" spans="5:7">
      <c r="E423" s="5"/>
      <c r="F423" s="5"/>
      <c r="G423" s="5"/>
    </row>
    <row r="424" spans="5:7">
      <c r="E424" s="5"/>
      <c r="F424" s="5"/>
      <c r="G424" s="5"/>
    </row>
    <row r="425" spans="5:7">
      <c r="E425" s="5"/>
      <c r="F425" s="5"/>
      <c r="G425" s="5"/>
    </row>
    <row r="426" spans="5:7">
      <c r="E426" s="5"/>
      <c r="F426" s="5"/>
      <c r="G426" s="5"/>
    </row>
    <row r="427" spans="5:7">
      <c r="E427" s="5"/>
      <c r="F427" s="5"/>
      <c r="G427" s="5"/>
    </row>
    <row r="428" spans="5:7">
      <c r="E428" s="5"/>
      <c r="F428" s="5"/>
      <c r="G428" s="5"/>
    </row>
    <row r="429" spans="5:7">
      <c r="E429" s="5"/>
      <c r="F429" s="5"/>
      <c r="G429" s="5"/>
    </row>
    <row r="430" spans="5:7">
      <c r="E430" s="5"/>
      <c r="F430" s="5"/>
      <c r="G430" s="5"/>
    </row>
    <row r="431" spans="5:7">
      <c r="E431" s="5"/>
      <c r="F431" s="5"/>
      <c r="G431" s="5"/>
    </row>
    <row r="432" spans="5:7">
      <c r="E432" s="5"/>
      <c r="F432" s="5"/>
      <c r="G432" s="5"/>
    </row>
    <row r="433" spans="5:7">
      <c r="E433" s="5"/>
      <c r="F433" s="5"/>
      <c r="G433" s="5"/>
    </row>
    <row r="434" spans="5:7">
      <c r="E434" s="5"/>
      <c r="F434" s="5"/>
      <c r="G434" s="5"/>
    </row>
    <row r="435" spans="5:7">
      <c r="E435" s="5"/>
      <c r="F435" s="5"/>
      <c r="G435" s="5"/>
    </row>
  </sheetData>
  <mergeCells count="4">
    <mergeCell ref="A5:D5"/>
    <mergeCell ref="A2:D2"/>
    <mergeCell ref="A4:G4"/>
    <mergeCell ref="A3:G3"/>
  </mergeCells>
  <phoneticPr fontId="5" type="noConversion"/>
  <pageMargins left="0.75" right="0.75" top="1" bottom="1" header="0.5" footer="0.5"/>
  <pageSetup scale="9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10"/>
    <pageSetUpPr fitToPage="1"/>
  </sheetPr>
  <dimension ref="A1:I436"/>
  <sheetViews>
    <sheetView workbookViewId="0">
      <selection activeCell="A3" sqref="A3:G3"/>
    </sheetView>
  </sheetViews>
  <sheetFormatPr defaultRowHeight="12.75"/>
  <cols>
    <col min="1" max="1" width="4.42578125" bestFit="1" customWidth="1"/>
    <col min="2" max="2" width="7.42578125" bestFit="1" customWidth="1"/>
    <col min="3" max="3" width="49.42578125" bestFit="1" customWidth="1"/>
    <col min="4" max="4" width="11.28515625" style="16" bestFit="1" customWidth="1"/>
    <col min="5" max="5" width="15.140625" customWidth="1"/>
    <col min="6" max="6" width="15.140625" bestFit="1" customWidth="1"/>
    <col min="7" max="7" width="12.7109375" bestFit="1" customWidth="1"/>
    <col min="9" max="9" width="9.7109375" bestFit="1" customWidth="1"/>
    <col min="10" max="10" width="8.7109375" bestFit="1" customWidth="1"/>
  </cols>
  <sheetData>
    <row r="1" spans="1:9">
      <c r="G1" t="str">
        <f>A!D1</f>
        <v>Docket No. RP16-299-000</v>
      </c>
    </row>
    <row r="2" spans="1:9">
      <c r="B2" s="9"/>
      <c r="C2" s="9"/>
      <c r="D2" s="9"/>
      <c r="G2" t="s">
        <v>266</v>
      </c>
    </row>
    <row r="3" spans="1:9">
      <c r="A3" s="927" t="str">
        <f>'Sched C-3'!A3:G3</f>
        <v>Tuscarora Gas Transmission Company</v>
      </c>
      <c r="B3" s="927"/>
      <c r="C3" s="927"/>
      <c r="D3" s="927"/>
      <c r="E3" s="927"/>
      <c r="F3" s="927"/>
      <c r="G3" s="927"/>
    </row>
    <row r="4" spans="1:9">
      <c r="A4" s="927" t="s">
        <v>263</v>
      </c>
      <c r="B4" s="927"/>
      <c r="C4" s="927"/>
      <c r="D4" s="927"/>
      <c r="E4" s="927"/>
      <c r="F4" s="927"/>
      <c r="G4" s="927"/>
    </row>
    <row r="5" spans="1:9">
      <c r="A5" s="927" t="s">
        <v>264</v>
      </c>
      <c r="B5" s="927"/>
      <c r="C5" s="927"/>
      <c r="D5" s="927"/>
      <c r="E5" s="927"/>
      <c r="F5" s="927"/>
      <c r="G5" s="927"/>
    </row>
    <row r="6" spans="1:9">
      <c r="A6" s="927" t="s">
        <v>265</v>
      </c>
      <c r="B6" s="927"/>
      <c r="C6" s="927"/>
      <c r="D6" s="927"/>
      <c r="E6" s="927"/>
      <c r="F6" s="927"/>
      <c r="G6" s="927"/>
    </row>
    <row r="8" spans="1:9">
      <c r="I8" s="2"/>
    </row>
    <row r="9" spans="1:9">
      <c r="B9" t="s">
        <v>448</v>
      </c>
      <c r="D9"/>
    </row>
    <row r="10" spans="1:9">
      <c r="B10" s="188" t="s">
        <v>1071</v>
      </c>
      <c r="D10"/>
    </row>
    <row r="11" spans="1:9">
      <c r="D11"/>
    </row>
    <row r="12" spans="1:9">
      <c r="D12" s="14"/>
      <c r="E12" s="2"/>
      <c r="F12" s="2"/>
      <c r="G12" s="2"/>
    </row>
    <row r="13" spans="1:9">
      <c r="C13" s="72"/>
      <c r="D13"/>
    </row>
    <row r="14" spans="1:9">
      <c r="D14"/>
    </row>
    <row r="15" spans="1:9">
      <c r="D15"/>
    </row>
    <row r="16" spans="1:9">
      <c r="D16"/>
    </row>
    <row r="17" spans="4:4">
      <c r="D17"/>
    </row>
    <row r="18" spans="4:4">
      <c r="D18"/>
    </row>
    <row r="19" spans="4:4">
      <c r="D19"/>
    </row>
    <row r="20" spans="4:4">
      <c r="D20"/>
    </row>
    <row r="21" spans="4:4">
      <c r="D21"/>
    </row>
    <row r="22" spans="4:4">
      <c r="D22"/>
    </row>
    <row r="23" spans="4:4">
      <c r="D23"/>
    </row>
    <row r="24" spans="4:4">
      <c r="D24"/>
    </row>
    <row r="25" spans="4:4">
      <c r="D25"/>
    </row>
    <row r="26" spans="4:4">
      <c r="D26"/>
    </row>
    <row r="27" spans="4:4">
      <c r="D27"/>
    </row>
    <row r="28" spans="4:4">
      <c r="D28"/>
    </row>
    <row r="29" spans="4:4">
      <c r="D29"/>
    </row>
    <row r="30" spans="4:4">
      <c r="D30"/>
    </row>
    <row r="31" spans="4:4">
      <c r="D31"/>
    </row>
    <row r="32" spans="4:4">
      <c r="D32"/>
    </row>
    <row r="33" spans="4:4">
      <c r="D33"/>
    </row>
    <row r="34" spans="4:4">
      <c r="D34"/>
    </row>
    <row r="35" spans="4:4">
      <c r="D35"/>
    </row>
    <row r="36" spans="4:4">
      <c r="D36"/>
    </row>
    <row r="37" spans="4:4">
      <c r="D37"/>
    </row>
    <row r="38" spans="4:4">
      <c r="D38"/>
    </row>
    <row r="39" spans="4:4">
      <c r="D39"/>
    </row>
    <row r="40" spans="4:4">
      <c r="D40"/>
    </row>
    <row r="41" spans="4:4">
      <c r="D41"/>
    </row>
    <row r="42" spans="4:4">
      <c r="D42"/>
    </row>
    <row r="43" spans="4:4">
      <c r="D43"/>
    </row>
    <row r="44" spans="4:4">
      <c r="D44"/>
    </row>
    <row r="45" spans="4:4">
      <c r="D45"/>
    </row>
    <row r="46" spans="4:4">
      <c r="D46"/>
    </row>
    <row r="47" spans="4:4">
      <c r="D47"/>
    </row>
    <row r="48" spans="4:4">
      <c r="D48"/>
    </row>
    <row r="49" spans="4:7">
      <c r="D49"/>
    </row>
    <row r="50" spans="4:7">
      <c r="D50"/>
    </row>
    <row r="51" spans="4:7">
      <c r="D51"/>
    </row>
    <row r="52" spans="4:7">
      <c r="D52"/>
    </row>
    <row r="53" spans="4:7">
      <c r="E53" s="5"/>
      <c r="F53" s="5"/>
      <c r="G53" s="5"/>
    </row>
    <row r="54" spans="4:7">
      <c r="E54" s="5"/>
      <c r="F54" s="5"/>
      <c r="G54" s="5"/>
    </row>
    <row r="55" spans="4:7">
      <c r="E55" s="5"/>
      <c r="F55" s="5"/>
      <c r="G55" s="5"/>
    </row>
    <row r="56" spans="4:7">
      <c r="E56" s="5"/>
      <c r="F56" s="5"/>
      <c r="G56" s="5"/>
    </row>
    <row r="57" spans="4:7">
      <c r="E57" s="5"/>
      <c r="F57" s="5"/>
      <c r="G57" s="5"/>
    </row>
    <row r="58" spans="4:7">
      <c r="E58" s="5"/>
      <c r="F58" s="5"/>
      <c r="G58" s="5"/>
    </row>
    <row r="59" spans="4:7">
      <c r="E59" s="5"/>
      <c r="F59" s="5"/>
      <c r="G59" s="5"/>
    </row>
    <row r="60" spans="4:7">
      <c r="E60" s="5"/>
      <c r="F60" s="5"/>
      <c r="G60" s="5"/>
    </row>
    <row r="61" spans="4:7">
      <c r="E61" s="5"/>
      <c r="F61" s="5"/>
      <c r="G61" s="5"/>
    </row>
    <row r="62" spans="4:7">
      <c r="E62" s="5"/>
      <c r="F62" s="5"/>
      <c r="G62" s="5"/>
    </row>
    <row r="63" spans="4:7">
      <c r="E63" s="5"/>
      <c r="F63" s="5"/>
      <c r="G63" s="5"/>
    </row>
    <row r="64" spans="4:7">
      <c r="E64" s="5"/>
      <c r="F64" s="5"/>
      <c r="G64" s="5"/>
    </row>
    <row r="65" spans="5:7">
      <c r="E65" s="5"/>
      <c r="F65" s="5"/>
      <c r="G65" s="5"/>
    </row>
    <row r="66" spans="5:7">
      <c r="E66" s="5"/>
      <c r="F66" s="5"/>
      <c r="G66" s="5"/>
    </row>
    <row r="67" spans="5:7">
      <c r="E67" s="5"/>
      <c r="F67" s="5"/>
      <c r="G67" s="5"/>
    </row>
    <row r="68" spans="5:7">
      <c r="E68" s="5"/>
      <c r="F68" s="5"/>
      <c r="G68" s="5"/>
    </row>
    <row r="69" spans="5:7">
      <c r="E69" s="5"/>
      <c r="F69" s="5"/>
      <c r="G69" s="5"/>
    </row>
    <row r="70" spans="5:7">
      <c r="E70" s="5"/>
      <c r="F70" s="5"/>
      <c r="G70" s="5"/>
    </row>
    <row r="71" spans="5:7">
      <c r="E71" s="5"/>
      <c r="F71" s="5"/>
      <c r="G71" s="5"/>
    </row>
    <row r="72" spans="5:7">
      <c r="E72" s="5"/>
      <c r="F72" s="5"/>
      <c r="G72" s="5"/>
    </row>
    <row r="73" spans="5:7">
      <c r="E73" s="5"/>
      <c r="F73" s="5"/>
      <c r="G73" s="5"/>
    </row>
    <row r="74" spans="5:7">
      <c r="E74" s="5"/>
      <c r="F74" s="5"/>
      <c r="G74" s="5"/>
    </row>
    <row r="75" spans="5:7">
      <c r="E75" s="5"/>
      <c r="F75" s="5"/>
      <c r="G75" s="5"/>
    </row>
    <row r="76" spans="5:7">
      <c r="E76" s="5"/>
      <c r="F76" s="5"/>
      <c r="G76" s="5"/>
    </row>
    <row r="77" spans="5:7">
      <c r="E77" s="5"/>
      <c r="F77" s="5"/>
      <c r="G77" s="5"/>
    </row>
    <row r="78" spans="5:7">
      <c r="E78" s="5"/>
      <c r="F78" s="5"/>
      <c r="G78" s="5"/>
    </row>
    <row r="79" spans="5:7">
      <c r="E79" s="5"/>
      <c r="F79" s="5"/>
      <c r="G79" s="5"/>
    </row>
    <row r="80" spans="5:7">
      <c r="E80" s="5"/>
      <c r="F80" s="5"/>
      <c r="G80" s="5"/>
    </row>
    <row r="81" spans="5:7">
      <c r="E81" s="5"/>
      <c r="F81" s="5"/>
      <c r="G81" s="5"/>
    </row>
    <row r="82" spans="5:7">
      <c r="E82" s="5"/>
      <c r="F82" s="5"/>
      <c r="G82" s="5"/>
    </row>
    <row r="83" spans="5:7">
      <c r="E83" s="5"/>
      <c r="F83" s="5"/>
      <c r="G83" s="5"/>
    </row>
    <row r="84" spans="5:7">
      <c r="E84" s="5"/>
      <c r="F84" s="5"/>
      <c r="G84" s="5"/>
    </row>
    <row r="85" spans="5:7">
      <c r="E85" s="5"/>
      <c r="F85" s="5"/>
      <c r="G85" s="5"/>
    </row>
    <row r="86" spans="5:7">
      <c r="E86" s="5"/>
      <c r="F86" s="5"/>
      <c r="G86" s="5"/>
    </row>
    <row r="87" spans="5:7">
      <c r="E87" s="5"/>
      <c r="F87" s="5"/>
      <c r="G87" s="5"/>
    </row>
    <row r="88" spans="5:7">
      <c r="E88" s="5"/>
      <c r="F88" s="5"/>
      <c r="G88" s="5"/>
    </row>
    <row r="89" spans="5:7">
      <c r="E89" s="5"/>
      <c r="F89" s="5"/>
      <c r="G89" s="5"/>
    </row>
    <row r="90" spans="5:7">
      <c r="E90" s="5"/>
      <c r="F90" s="5"/>
      <c r="G90" s="5"/>
    </row>
    <row r="91" spans="5:7">
      <c r="E91" s="5"/>
      <c r="F91" s="5"/>
      <c r="G91" s="5"/>
    </row>
    <row r="92" spans="5:7">
      <c r="E92" s="5"/>
      <c r="F92" s="5"/>
      <c r="G92" s="5"/>
    </row>
    <row r="93" spans="5:7">
      <c r="E93" s="5"/>
      <c r="F93" s="5"/>
      <c r="G93" s="5"/>
    </row>
    <row r="94" spans="5:7">
      <c r="E94" s="5"/>
      <c r="F94" s="5"/>
      <c r="G94" s="5"/>
    </row>
    <row r="95" spans="5:7">
      <c r="E95" s="5"/>
      <c r="F95" s="5"/>
      <c r="G95" s="5"/>
    </row>
    <row r="96" spans="5:7">
      <c r="E96" s="5"/>
      <c r="F96" s="5"/>
      <c r="G96" s="5"/>
    </row>
    <row r="97" spans="5:7">
      <c r="E97" s="5"/>
      <c r="F97" s="5"/>
      <c r="G97" s="5"/>
    </row>
    <row r="98" spans="5:7">
      <c r="E98" s="5"/>
      <c r="F98" s="5"/>
      <c r="G98" s="5"/>
    </row>
    <row r="99" spans="5:7">
      <c r="E99" s="5"/>
      <c r="F99" s="5"/>
      <c r="G99" s="5"/>
    </row>
    <row r="100" spans="5:7">
      <c r="E100" s="5"/>
      <c r="F100" s="5"/>
      <c r="G100" s="5"/>
    </row>
    <row r="101" spans="5:7">
      <c r="E101" s="5"/>
      <c r="F101" s="5"/>
      <c r="G101" s="5"/>
    </row>
    <row r="102" spans="5:7">
      <c r="E102" s="5"/>
      <c r="F102" s="5"/>
      <c r="G102" s="5"/>
    </row>
    <row r="103" spans="5:7">
      <c r="E103" s="5"/>
      <c r="F103" s="5"/>
      <c r="G103" s="5"/>
    </row>
    <row r="104" spans="5:7">
      <c r="E104" s="5"/>
      <c r="F104" s="5"/>
      <c r="G104" s="5"/>
    </row>
    <row r="105" spans="5:7">
      <c r="E105" s="5"/>
      <c r="F105" s="5"/>
      <c r="G105" s="5"/>
    </row>
    <row r="106" spans="5:7">
      <c r="E106" s="5"/>
      <c r="F106" s="5"/>
      <c r="G106" s="5"/>
    </row>
    <row r="107" spans="5:7">
      <c r="E107" s="5"/>
      <c r="F107" s="5"/>
      <c r="G107" s="5"/>
    </row>
    <row r="108" spans="5:7">
      <c r="E108" s="5"/>
      <c r="F108" s="5"/>
      <c r="G108" s="5"/>
    </row>
    <row r="109" spans="5:7">
      <c r="E109" s="5"/>
      <c r="F109" s="5"/>
      <c r="G109" s="5"/>
    </row>
    <row r="110" spans="5:7">
      <c r="E110" s="5"/>
      <c r="F110" s="5"/>
      <c r="G110" s="5"/>
    </row>
    <row r="111" spans="5:7">
      <c r="E111" s="5"/>
      <c r="F111" s="5"/>
      <c r="G111" s="5"/>
    </row>
    <row r="112" spans="5:7">
      <c r="E112" s="5"/>
      <c r="F112" s="5"/>
      <c r="G112" s="5"/>
    </row>
    <row r="113" spans="5:7">
      <c r="E113" s="5"/>
      <c r="F113" s="5"/>
      <c r="G113" s="5"/>
    </row>
    <row r="114" spans="5:7">
      <c r="E114" s="5"/>
      <c r="F114" s="5"/>
      <c r="G114" s="5"/>
    </row>
    <row r="115" spans="5:7">
      <c r="E115" s="5"/>
      <c r="F115" s="5"/>
      <c r="G115" s="5"/>
    </row>
    <row r="116" spans="5:7">
      <c r="E116" s="5"/>
      <c r="F116" s="5"/>
      <c r="G116" s="5"/>
    </row>
    <row r="117" spans="5:7">
      <c r="E117" s="5"/>
      <c r="F117" s="5"/>
      <c r="G117" s="5"/>
    </row>
    <row r="118" spans="5:7">
      <c r="E118" s="5"/>
      <c r="F118" s="5"/>
      <c r="G118" s="5"/>
    </row>
    <row r="119" spans="5:7">
      <c r="E119" s="5"/>
      <c r="F119" s="5"/>
      <c r="G119" s="5"/>
    </row>
    <row r="120" spans="5:7">
      <c r="E120" s="5"/>
      <c r="F120" s="5"/>
      <c r="G120" s="5"/>
    </row>
    <row r="121" spans="5:7">
      <c r="E121" s="5"/>
      <c r="F121" s="5"/>
      <c r="G121" s="5"/>
    </row>
    <row r="122" spans="5:7">
      <c r="E122" s="5"/>
      <c r="F122" s="5"/>
      <c r="G122" s="5"/>
    </row>
    <row r="123" spans="5:7">
      <c r="E123" s="5"/>
      <c r="F123" s="5"/>
      <c r="G123" s="5"/>
    </row>
    <row r="124" spans="5:7">
      <c r="E124" s="5"/>
      <c r="F124" s="5"/>
      <c r="G124" s="5"/>
    </row>
    <row r="125" spans="5:7">
      <c r="E125" s="5"/>
      <c r="F125" s="5"/>
      <c r="G125" s="5"/>
    </row>
    <row r="126" spans="5:7">
      <c r="E126" s="5"/>
      <c r="F126" s="5"/>
      <c r="G126" s="5"/>
    </row>
    <row r="127" spans="5:7">
      <c r="E127" s="5"/>
      <c r="F127" s="5"/>
      <c r="G127" s="5"/>
    </row>
    <row r="128" spans="5:7">
      <c r="E128" s="5"/>
      <c r="F128" s="5"/>
      <c r="G128" s="5"/>
    </row>
    <row r="129" spans="5:7">
      <c r="E129" s="5"/>
      <c r="F129" s="5"/>
      <c r="G129" s="5"/>
    </row>
    <row r="130" spans="5:7">
      <c r="E130" s="5"/>
      <c r="F130" s="5"/>
      <c r="G130" s="5"/>
    </row>
    <row r="131" spans="5:7">
      <c r="E131" s="5"/>
      <c r="F131" s="5"/>
      <c r="G131" s="5"/>
    </row>
    <row r="132" spans="5:7">
      <c r="E132" s="5"/>
      <c r="F132" s="5"/>
      <c r="G132" s="5"/>
    </row>
    <row r="133" spans="5:7">
      <c r="E133" s="5"/>
      <c r="F133" s="5"/>
      <c r="G133" s="5"/>
    </row>
    <row r="134" spans="5:7">
      <c r="E134" s="5"/>
      <c r="F134" s="5"/>
      <c r="G134" s="5"/>
    </row>
    <row r="135" spans="5:7">
      <c r="E135" s="5"/>
      <c r="F135" s="5"/>
      <c r="G135" s="5"/>
    </row>
    <row r="136" spans="5:7">
      <c r="E136" s="5"/>
      <c r="F136" s="5"/>
      <c r="G136" s="5"/>
    </row>
    <row r="137" spans="5:7">
      <c r="E137" s="5"/>
      <c r="F137" s="5"/>
      <c r="G137" s="5"/>
    </row>
    <row r="138" spans="5:7">
      <c r="E138" s="5"/>
      <c r="F138" s="5"/>
      <c r="G138" s="5"/>
    </row>
    <row r="139" spans="5:7">
      <c r="E139" s="5"/>
      <c r="F139" s="5"/>
      <c r="G139" s="5"/>
    </row>
    <row r="140" spans="5:7">
      <c r="E140" s="5"/>
      <c r="F140" s="5"/>
      <c r="G140" s="5"/>
    </row>
    <row r="141" spans="5:7">
      <c r="E141" s="5"/>
      <c r="F141" s="5"/>
      <c r="G141" s="5"/>
    </row>
    <row r="142" spans="5:7">
      <c r="E142" s="5"/>
      <c r="F142" s="5"/>
      <c r="G142" s="5"/>
    </row>
    <row r="143" spans="5:7">
      <c r="E143" s="5"/>
      <c r="F143" s="5"/>
      <c r="G143" s="5"/>
    </row>
    <row r="144" spans="5:7">
      <c r="E144" s="5"/>
      <c r="F144" s="5"/>
      <c r="G144" s="5"/>
    </row>
    <row r="145" spans="5:7">
      <c r="E145" s="5"/>
      <c r="F145" s="5"/>
      <c r="G145" s="5"/>
    </row>
    <row r="146" spans="5:7">
      <c r="E146" s="5"/>
      <c r="F146" s="5"/>
      <c r="G146" s="5"/>
    </row>
    <row r="147" spans="5:7">
      <c r="E147" s="5"/>
      <c r="F147" s="5"/>
      <c r="G147" s="5"/>
    </row>
    <row r="148" spans="5:7">
      <c r="E148" s="5"/>
      <c r="F148" s="5"/>
      <c r="G148" s="5"/>
    </row>
    <row r="149" spans="5:7">
      <c r="E149" s="5"/>
      <c r="F149" s="5"/>
      <c r="G149" s="5"/>
    </row>
    <row r="150" spans="5:7">
      <c r="E150" s="5"/>
      <c r="F150" s="5"/>
      <c r="G150" s="5"/>
    </row>
    <row r="151" spans="5:7">
      <c r="E151" s="5"/>
      <c r="F151" s="5"/>
      <c r="G151" s="5"/>
    </row>
    <row r="152" spans="5:7">
      <c r="E152" s="5"/>
      <c r="F152" s="5"/>
      <c r="G152" s="5"/>
    </row>
    <row r="153" spans="5:7">
      <c r="E153" s="5"/>
      <c r="F153" s="5"/>
      <c r="G153" s="5"/>
    </row>
    <row r="154" spans="5:7">
      <c r="E154" s="5"/>
      <c r="F154" s="5"/>
      <c r="G154" s="5"/>
    </row>
    <row r="155" spans="5:7">
      <c r="E155" s="5"/>
      <c r="F155" s="5"/>
      <c r="G155" s="5"/>
    </row>
    <row r="156" spans="5:7">
      <c r="E156" s="5"/>
      <c r="F156" s="5"/>
      <c r="G156" s="5"/>
    </row>
    <row r="157" spans="5:7">
      <c r="E157" s="5"/>
      <c r="F157" s="5"/>
      <c r="G157" s="5"/>
    </row>
    <row r="158" spans="5:7">
      <c r="E158" s="5"/>
      <c r="F158" s="5"/>
      <c r="G158" s="5"/>
    </row>
    <row r="159" spans="5:7">
      <c r="E159" s="5"/>
      <c r="F159" s="5"/>
      <c r="G159" s="5"/>
    </row>
    <row r="160" spans="5:7">
      <c r="E160" s="5"/>
      <c r="F160" s="5"/>
      <c r="G160" s="5"/>
    </row>
    <row r="161" spans="5:7">
      <c r="E161" s="5"/>
      <c r="F161" s="5"/>
      <c r="G161" s="5"/>
    </row>
    <row r="162" spans="5:7">
      <c r="E162" s="5"/>
      <c r="F162" s="5"/>
      <c r="G162" s="5"/>
    </row>
    <row r="163" spans="5:7">
      <c r="E163" s="5"/>
      <c r="F163" s="5"/>
      <c r="G163" s="5"/>
    </row>
    <row r="164" spans="5:7">
      <c r="E164" s="5"/>
      <c r="F164" s="5"/>
      <c r="G164" s="5"/>
    </row>
    <row r="165" spans="5:7">
      <c r="E165" s="5"/>
      <c r="F165" s="5"/>
      <c r="G165" s="5"/>
    </row>
    <row r="166" spans="5:7">
      <c r="E166" s="5"/>
      <c r="F166" s="5"/>
      <c r="G166" s="5"/>
    </row>
    <row r="167" spans="5:7">
      <c r="E167" s="5"/>
      <c r="F167" s="5"/>
      <c r="G167" s="5"/>
    </row>
    <row r="168" spans="5:7">
      <c r="E168" s="5"/>
      <c r="F168" s="5"/>
      <c r="G168" s="5"/>
    </row>
    <row r="169" spans="5:7">
      <c r="E169" s="5"/>
      <c r="F169" s="5"/>
      <c r="G169" s="5"/>
    </row>
    <row r="170" spans="5:7">
      <c r="E170" s="5"/>
      <c r="F170" s="5"/>
      <c r="G170" s="5"/>
    </row>
    <row r="171" spans="5:7">
      <c r="E171" s="5"/>
      <c r="F171" s="5"/>
      <c r="G171" s="5"/>
    </row>
    <row r="172" spans="5:7">
      <c r="E172" s="5"/>
      <c r="F172" s="5"/>
      <c r="G172" s="5"/>
    </row>
    <row r="173" spans="5:7">
      <c r="E173" s="5"/>
      <c r="F173" s="5"/>
      <c r="G173" s="5"/>
    </row>
    <row r="174" spans="5:7">
      <c r="E174" s="5"/>
      <c r="F174" s="5"/>
      <c r="G174" s="5"/>
    </row>
    <row r="175" spans="5:7">
      <c r="E175" s="5"/>
      <c r="F175" s="5"/>
      <c r="G175" s="5"/>
    </row>
    <row r="176" spans="5:7">
      <c r="E176" s="5"/>
      <c r="F176" s="5"/>
      <c r="G176" s="5"/>
    </row>
    <row r="177" spans="5:7">
      <c r="E177" s="5"/>
      <c r="F177" s="5"/>
      <c r="G177" s="5"/>
    </row>
    <row r="178" spans="5:7">
      <c r="E178" s="5"/>
      <c r="F178" s="5"/>
      <c r="G178" s="5"/>
    </row>
    <row r="179" spans="5:7">
      <c r="E179" s="5"/>
      <c r="F179" s="5"/>
      <c r="G179" s="5"/>
    </row>
    <row r="180" spans="5:7">
      <c r="E180" s="5"/>
      <c r="F180" s="5"/>
      <c r="G180" s="5"/>
    </row>
    <row r="181" spans="5:7">
      <c r="E181" s="5"/>
      <c r="F181" s="5"/>
      <c r="G181" s="5"/>
    </row>
    <row r="182" spans="5:7">
      <c r="E182" s="5"/>
      <c r="F182" s="5"/>
      <c r="G182" s="5"/>
    </row>
    <row r="183" spans="5:7">
      <c r="E183" s="5"/>
      <c r="F183" s="5"/>
      <c r="G183" s="5"/>
    </row>
    <row r="184" spans="5:7">
      <c r="E184" s="5"/>
      <c r="F184" s="5"/>
      <c r="G184" s="5"/>
    </row>
    <row r="185" spans="5:7">
      <c r="E185" s="5"/>
      <c r="F185" s="5"/>
      <c r="G185" s="5"/>
    </row>
    <row r="186" spans="5:7">
      <c r="E186" s="5"/>
      <c r="F186" s="5"/>
      <c r="G186" s="5"/>
    </row>
    <row r="187" spans="5:7">
      <c r="E187" s="5"/>
      <c r="F187" s="5"/>
      <c r="G187" s="5"/>
    </row>
    <row r="188" spans="5:7">
      <c r="E188" s="5"/>
      <c r="F188" s="5"/>
      <c r="G188" s="5"/>
    </row>
    <row r="189" spans="5:7">
      <c r="E189" s="5"/>
      <c r="F189" s="5"/>
      <c r="G189" s="5"/>
    </row>
    <row r="190" spans="5:7">
      <c r="E190" s="5"/>
      <c r="F190" s="5"/>
      <c r="G190" s="5"/>
    </row>
    <row r="191" spans="5:7">
      <c r="E191" s="5"/>
      <c r="F191" s="5"/>
      <c r="G191" s="5"/>
    </row>
    <row r="192" spans="5:7">
      <c r="E192" s="5"/>
      <c r="F192" s="5"/>
      <c r="G192" s="5"/>
    </row>
    <row r="193" spans="5:7">
      <c r="E193" s="5"/>
      <c r="F193" s="5"/>
      <c r="G193" s="5"/>
    </row>
    <row r="194" spans="5:7">
      <c r="E194" s="5"/>
      <c r="F194" s="5"/>
      <c r="G194" s="5"/>
    </row>
    <row r="195" spans="5:7">
      <c r="E195" s="5"/>
      <c r="F195" s="5"/>
      <c r="G195" s="5"/>
    </row>
    <row r="196" spans="5:7">
      <c r="E196" s="5"/>
      <c r="F196" s="5"/>
      <c r="G196" s="5"/>
    </row>
    <row r="197" spans="5:7">
      <c r="E197" s="5"/>
      <c r="F197" s="5"/>
      <c r="G197" s="5"/>
    </row>
    <row r="198" spans="5:7">
      <c r="E198" s="5"/>
      <c r="F198" s="5"/>
      <c r="G198" s="5"/>
    </row>
    <row r="199" spans="5:7">
      <c r="E199" s="5"/>
      <c r="F199" s="5"/>
      <c r="G199" s="5"/>
    </row>
    <row r="200" spans="5:7">
      <c r="E200" s="5"/>
      <c r="F200" s="5"/>
      <c r="G200" s="5"/>
    </row>
    <row r="201" spans="5:7">
      <c r="E201" s="5"/>
      <c r="F201" s="5"/>
      <c r="G201" s="5"/>
    </row>
    <row r="202" spans="5:7">
      <c r="E202" s="5"/>
      <c r="F202" s="5"/>
      <c r="G202" s="5"/>
    </row>
    <row r="203" spans="5:7">
      <c r="E203" s="5"/>
      <c r="F203" s="5"/>
      <c r="G203" s="5"/>
    </row>
    <row r="204" spans="5:7">
      <c r="E204" s="5"/>
      <c r="F204" s="5"/>
      <c r="G204" s="5"/>
    </row>
    <row r="205" spans="5:7">
      <c r="E205" s="5"/>
      <c r="F205" s="5"/>
      <c r="G205" s="5"/>
    </row>
    <row r="206" spans="5:7">
      <c r="E206" s="5"/>
      <c r="F206" s="5"/>
      <c r="G206" s="5"/>
    </row>
    <row r="207" spans="5:7">
      <c r="E207" s="5"/>
      <c r="F207" s="5"/>
      <c r="G207" s="5"/>
    </row>
    <row r="208" spans="5:7">
      <c r="E208" s="5"/>
      <c r="F208" s="5"/>
      <c r="G208" s="5"/>
    </row>
    <row r="209" spans="5:7">
      <c r="E209" s="5"/>
      <c r="F209" s="5"/>
      <c r="G209" s="5"/>
    </row>
    <row r="210" spans="5:7">
      <c r="E210" s="5"/>
      <c r="F210" s="5"/>
      <c r="G210" s="5"/>
    </row>
    <row r="211" spans="5:7">
      <c r="E211" s="5"/>
      <c r="F211" s="5"/>
      <c r="G211" s="5"/>
    </row>
    <row r="212" spans="5:7">
      <c r="E212" s="5"/>
      <c r="F212" s="5"/>
      <c r="G212" s="5"/>
    </row>
    <row r="213" spans="5:7">
      <c r="E213" s="5"/>
      <c r="F213" s="5"/>
      <c r="G213" s="5"/>
    </row>
    <row r="214" spans="5:7">
      <c r="E214" s="5"/>
      <c r="F214" s="5"/>
      <c r="G214" s="5"/>
    </row>
    <row r="215" spans="5:7">
      <c r="E215" s="5"/>
      <c r="F215" s="5"/>
      <c r="G215" s="5"/>
    </row>
    <row r="216" spans="5:7">
      <c r="E216" s="5"/>
      <c r="F216" s="5"/>
      <c r="G216" s="5"/>
    </row>
    <row r="217" spans="5:7">
      <c r="E217" s="5"/>
      <c r="F217" s="5"/>
      <c r="G217" s="5"/>
    </row>
    <row r="218" spans="5:7">
      <c r="E218" s="5"/>
      <c r="F218" s="5"/>
      <c r="G218" s="5"/>
    </row>
    <row r="219" spans="5:7">
      <c r="E219" s="5"/>
      <c r="F219" s="5"/>
      <c r="G219" s="5"/>
    </row>
    <row r="220" spans="5:7">
      <c r="E220" s="5"/>
      <c r="F220" s="5"/>
      <c r="G220" s="5"/>
    </row>
    <row r="221" spans="5:7">
      <c r="E221" s="5"/>
      <c r="F221" s="5"/>
      <c r="G221" s="5"/>
    </row>
    <row r="222" spans="5:7">
      <c r="E222" s="5"/>
      <c r="F222" s="5"/>
      <c r="G222" s="5"/>
    </row>
    <row r="223" spans="5:7">
      <c r="E223" s="5"/>
      <c r="F223" s="5"/>
      <c r="G223" s="5"/>
    </row>
    <row r="224" spans="5:7">
      <c r="E224" s="5"/>
      <c r="F224" s="5"/>
      <c r="G224" s="5"/>
    </row>
    <row r="225" spans="5:7">
      <c r="E225" s="5"/>
      <c r="F225" s="5"/>
      <c r="G225" s="5"/>
    </row>
    <row r="226" spans="5:7">
      <c r="E226" s="5"/>
      <c r="F226" s="5"/>
      <c r="G226" s="5"/>
    </row>
    <row r="227" spans="5:7">
      <c r="E227" s="5"/>
      <c r="F227" s="5"/>
      <c r="G227" s="5"/>
    </row>
    <row r="228" spans="5:7">
      <c r="E228" s="5"/>
      <c r="F228" s="5"/>
      <c r="G228" s="5"/>
    </row>
    <row r="229" spans="5:7">
      <c r="E229" s="5"/>
      <c r="F229" s="5"/>
      <c r="G229" s="5"/>
    </row>
    <row r="230" spans="5:7">
      <c r="E230" s="5"/>
      <c r="F230" s="5"/>
      <c r="G230" s="5"/>
    </row>
    <row r="231" spans="5:7">
      <c r="E231" s="5"/>
      <c r="F231" s="5"/>
      <c r="G231" s="5"/>
    </row>
    <row r="232" spans="5:7">
      <c r="E232" s="5"/>
      <c r="F232" s="5"/>
      <c r="G232" s="5"/>
    </row>
    <row r="233" spans="5:7">
      <c r="E233" s="5"/>
      <c r="F233" s="5"/>
      <c r="G233" s="5"/>
    </row>
    <row r="234" spans="5:7">
      <c r="E234" s="5"/>
      <c r="F234" s="5"/>
      <c r="G234" s="5"/>
    </row>
    <row r="235" spans="5:7">
      <c r="E235" s="5"/>
      <c r="F235" s="5"/>
      <c r="G235" s="5"/>
    </row>
    <row r="236" spans="5:7">
      <c r="E236" s="5"/>
      <c r="F236" s="5"/>
      <c r="G236" s="5"/>
    </row>
    <row r="237" spans="5:7">
      <c r="E237" s="5"/>
      <c r="F237" s="5"/>
      <c r="G237" s="5"/>
    </row>
    <row r="238" spans="5:7">
      <c r="E238" s="5"/>
      <c r="F238" s="5"/>
      <c r="G238" s="5"/>
    </row>
    <row r="239" spans="5:7">
      <c r="E239" s="5"/>
      <c r="F239" s="5"/>
      <c r="G239" s="5"/>
    </row>
    <row r="240" spans="5:7">
      <c r="E240" s="5"/>
      <c r="F240" s="5"/>
      <c r="G240" s="5"/>
    </row>
    <row r="241" spans="5:7">
      <c r="E241" s="5"/>
      <c r="F241" s="5"/>
      <c r="G241" s="5"/>
    </row>
    <row r="242" spans="5:7">
      <c r="E242" s="5"/>
      <c r="F242" s="5"/>
      <c r="G242" s="5"/>
    </row>
    <row r="243" spans="5:7">
      <c r="E243" s="5"/>
      <c r="F243" s="5"/>
      <c r="G243" s="5"/>
    </row>
    <row r="244" spans="5:7">
      <c r="E244" s="5"/>
      <c r="F244" s="5"/>
      <c r="G244" s="5"/>
    </row>
    <row r="245" spans="5:7">
      <c r="E245" s="5"/>
      <c r="F245" s="5"/>
      <c r="G245" s="5"/>
    </row>
    <row r="246" spans="5:7">
      <c r="E246" s="5"/>
      <c r="F246" s="5"/>
      <c r="G246" s="5"/>
    </row>
    <row r="247" spans="5:7">
      <c r="E247" s="5"/>
      <c r="F247" s="5"/>
      <c r="G247" s="5"/>
    </row>
    <row r="248" spans="5:7">
      <c r="E248" s="5"/>
      <c r="F248" s="5"/>
      <c r="G248" s="5"/>
    </row>
    <row r="249" spans="5:7">
      <c r="E249" s="5"/>
      <c r="F249" s="5"/>
      <c r="G249" s="5"/>
    </row>
    <row r="250" spans="5:7">
      <c r="E250" s="5"/>
      <c r="F250" s="5"/>
      <c r="G250" s="5"/>
    </row>
    <row r="251" spans="5:7">
      <c r="E251" s="5"/>
      <c r="F251" s="5"/>
      <c r="G251" s="5"/>
    </row>
    <row r="252" spans="5:7">
      <c r="E252" s="5"/>
      <c r="F252" s="5"/>
      <c r="G252" s="5"/>
    </row>
    <row r="253" spans="5:7">
      <c r="E253" s="5"/>
      <c r="F253" s="5"/>
      <c r="G253" s="5"/>
    </row>
    <row r="254" spans="5:7">
      <c r="E254" s="5"/>
      <c r="F254" s="5"/>
      <c r="G254" s="5"/>
    </row>
    <row r="255" spans="5:7">
      <c r="E255" s="5"/>
      <c r="F255" s="5"/>
      <c r="G255" s="5"/>
    </row>
    <row r="256" spans="5:7">
      <c r="E256" s="5"/>
      <c r="F256" s="5"/>
      <c r="G256" s="5"/>
    </row>
    <row r="257" spans="5:7">
      <c r="E257" s="5"/>
      <c r="F257" s="5"/>
      <c r="G257" s="5"/>
    </row>
    <row r="258" spans="5:7">
      <c r="E258" s="5"/>
      <c r="F258" s="5"/>
      <c r="G258" s="5"/>
    </row>
    <row r="259" spans="5:7">
      <c r="E259" s="5"/>
      <c r="F259" s="5"/>
      <c r="G259" s="5"/>
    </row>
    <row r="260" spans="5:7">
      <c r="E260" s="5"/>
      <c r="F260" s="5"/>
      <c r="G260" s="5"/>
    </row>
    <row r="261" spans="5:7">
      <c r="E261" s="5"/>
      <c r="F261" s="5"/>
      <c r="G261" s="5"/>
    </row>
    <row r="262" spans="5:7">
      <c r="E262" s="5"/>
      <c r="F262" s="5"/>
      <c r="G262" s="5"/>
    </row>
    <row r="263" spans="5:7">
      <c r="E263" s="5"/>
      <c r="F263" s="5"/>
      <c r="G263" s="5"/>
    </row>
    <row r="264" spans="5:7">
      <c r="E264" s="5"/>
      <c r="F264" s="5"/>
      <c r="G264" s="5"/>
    </row>
    <row r="265" spans="5:7">
      <c r="E265" s="5"/>
      <c r="F265" s="5"/>
      <c r="G265" s="5"/>
    </row>
    <row r="266" spans="5:7">
      <c r="E266" s="5"/>
      <c r="F266" s="5"/>
      <c r="G266" s="5"/>
    </row>
    <row r="267" spans="5:7">
      <c r="E267" s="5"/>
      <c r="F267" s="5"/>
      <c r="G267" s="5"/>
    </row>
    <row r="268" spans="5:7">
      <c r="E268" s="5"/>
      <c r="F268" s="5"/>
      <c r="G268" s="5"/>
    </row>
    <row r="269" spans="5:7">
      <c r="E269" s="5"/>
      <c r="F269" s="5"/>
      <c r="G269" s="5"/>
    </row>
    <row r="270" spans="5:7">
      <c r="E270" s="5"/>
      <c r="F270" s="5"/>
      <c r="G270" s="5"/>
    </row>
    <row r="271" spans="5:7">
      <c r="E271" s="5"/>
      <c r="F271" s="5"/>
      <c r="G271" s="5"/>
    </row>
    <row r="272" spans="5:7">
      <c r="E272" s="5"/>
      <c r="F272" s="5"/>
      <c r="G272" s="5"/>
    </row>
    <row r="273" spans="5:7">
      <c r="E273" s="5"/>
      <c r="F273" s="5"/>
      <c r="G273" s="5"/>
    </row>
    <row r="274" spans="5:7">
      <c r="E274" s="5"/>
      <c r="F274" s="5"/>
      <c r="G274" s="5"/>
    </row>
    <row r="275" spans="5:7">
      <c r="E275" s="5"/>
      <c r="F275" s="5"/>
      <c r="G275" s="5"/>
    </row>
    <row r="276" spans="5:7">
      <c r="E276" s="5"/>
      <c r="F276" s="5"/>
      <c r="G276" s="5"/>
    </row>
    <row r="277" spans="5:7">
      <c r="E277" s="5"/>
      <c r="F277" s="5"/>
      <c r="G277" s="5"/>
    </row>
    <row r="278" spans="5:7">
      <c r="E278" s="5"/>
      <c r="F278" s="5"/>
      <c r="G278" s="5"/>
    </row>
    <row r="279" spans="5:7">
      <c r="E279" s="5"/>
      <c r="F279" s="5"/>
      <c r="G279" s="5"/>
    </row>
    <row r="280" spans="5:7">
      <c r="E280" s="5"/>
      <c r="F280" s="5"/>
      <c r="G280" s="5"/>
    </row>
    <row r="281" spans="5:7">
      <c r="E281" s="5"/>
      <c r="F281" s="5"/>
      <c r="G281" s="5"/>
    </row>
    <row r="282" spans="5:7">
      <c r="E282" s="5"/>
      <c r="F282" s="5"/>
      <c r="G282" s="5"/>
    </row>
    <row r="283" spans="5:7">
      <c r="E283" s="5"/>
      <c r="F283" s="5"/>
      <c r="G283" s="5"/>
    </row>
    <row r="284" spans="5:7">
      <c r="E284" s="5"/>
      <c r="F284" s="5"/>
      <c r="G284" s="5"/>
    </row>
    <row r="285" spans="5:7">
      <c r="E285" s="5"/>
      <c r="F285" s="5"/>
      <c r="G285" s="5"/>
    </row>
    <row r="286" spans="5:7">
      <c r="E286" s="5"/>
      <c r="F286" s="5"/>
      <c r="G286" s="5"/>
    </row>
    <row r="287" spans="5:7">
      <c r="E287" s="5"/>
      <c r="F287" s="5"/>
      <c r="G287" s="5"/>
    </row>
    <row r="288" spans="5:7">
      <c r="E288" s="5"/>
      <c r="F288" s="5"/>
      <c r="G288" s="5"/>
    </row>
    <row r="289" spans="5:7">
      <c r="E289" s="5"/>
      <c r="F289" s="5"/>
      <c r="G289" s="5"/>
    </row>
    <row r="290" spans="5:7">
      <c r="E290" s="5"/>
      <c r="F290" s="5"/>
      <c r="G290" s="5"/>
    </row>
    <row r="291" spans="5:7">
      <c r="E291" s="5"/>
      <c r="F291" s="5"/>
      <c r="G291" s="5"/>
    </row>
    <row r="292" spans="5:7">
      <c r="E292" s="5"/>
      <c r="F292" s="5"/>
      <c r="G292" s="5"/>
    </row>
    <row r="293" spans="5:7">
      <c r="E293" s="5"/>
      <c r="F293" s="5"/>
      <c r="G293" s="5"/>
    </row>
    <row r="294" spans="5:7">
      <c r="E294" s="5"/>
      <c r="F294" s="5"/>
      <c r="G294" s="5"/>
    </row>
    <row r="295" spans="5:7">
      <c r="E295" s="5"/>
      <c r="F295" s="5"/>
      <c r="G295" s="5"/>
    </row>
    <row r="296" spans="5:7">
      <c r="E296" s="5"/>
      <c r="F296" s="5"/>
      <c r="G296" s="5"/>
    </row>
    <row r="297" spans="5:7">
      <c r="E297" s="5"/>
      <c r="F297" s="5"/>
      <c r="G297" s="5"/>
    </row>
    <row r="298" spans="5:7">
      <c r="E298" s="5"/>
      <c r="F298" s="5"/>
      <c r="G298" s="5"/>
    </row>
    <row r="299" spans="5:7">
      <c r="E299" s="5"/>
      <c r="F299" s="5"/>
      <c r="G299" s="5"/>
    </row>
    <row r="300" spans="5:7">
      <c r="E300" s="5"/>
      <c r="F300" s="5"/>
      <c r="G300" s="5"/>
    </row>
    <row r="301" spans="5:7">
      <c r="E301" s="5"/>
      <c r="F301" s="5"/>
      <c r="G301" s="5"/>
    </row>
    <row r="302" spans="5:7">
      <c r="E302" s="5"/>
      <c r="F302" s="5"/>
      <c r="G302" s="5"/>
    </row>
    <row r="303" spans="5:7">
      <c r="E303" s="5"/>
      <c r="F303" s="5"/>
      <c r="G303" s="5"/>
    </row>
    <row r="304" spans="5:7">
      <c r="E304" s="5"/>
      <c r="F304" s="5"/>
      <c r="G304" s="5"/>
    </row>
    <row r="305" spans="5:7">
      <c r="E305" s="5"/>
      <c r="F305" s="5"/>
      <c r="G305" s="5"/>
    </row>
    <row r="306" spans="5:7">
      <c r="E306" s="5"/>
      <c r="F306" s="5"/>
      <c r="G306" s="5"/>
    </row>
    <row r="307" spans="5:7">
      <c r="E307" s="5"/>
      <c r="F307" s="5"/>
      <c r="G307" s="5"/>
    </row>
    <row r="308" spans="5:7">
      <c r="E308" s="5"/>
      <c r="F308" s="5"/>
      <c r="G308" s="5"/>
    </row>
    <row r="309" spans="5:7">
      <c r="E309" s="5"/>
      <c r="F309" s="5"/>
      <c r="G309" s="5"/>
    </row>
    <row r="310" spans="5:7">
      <c r="E310" s="5"/>
      <c r="F310" s="5"/>
      <c r="G310" s="5"/>
    </row>
    <row r="311" spans="5:7">
      <c r="E311" s="5"/>
      <c r="F311" s="5"/>
      <c r="G311" s="5"/>
    </row>
    <row r="312" spans="5:7">
      <c r="E312" s="5"/>
      <c r="F312" s="5"/>
      <c r="G312" s="5"/>
    </row>
    <row r="313" spans="5:7">
      <c r="E313" s="5"/>
      <c r="F313" s="5"/>
      <c r="G313" s="5"/>
    </row>
    <row r="314" spans="5:7">
      <c r="E314" s="5"/>
      <c r="F314" s="5"/>
      <c r="G314" s="5"/>
    </row>
    <row r="315" spans="5:7">
      <c r="E315" s="5"/>
      <c r="F315" s="5"/>
      <c r="G315" s="5"/>
    </row>
    <row r="316" spans="5:7">
      <c r="E316" s="5"/>
      <c r="F316" s="5"/>
      <c r="G316" s="5"/>
    </row>
    <row r="317" spans="5:7">
      <c r="E317" s="5"/>
      <c r="F317" s="5"/>
      <c r="G317" s="5"/>
    </row>
    <row r="318" spans="5:7">
      <c r="E318" s="5"/>
      <c r="F318" s="5"/>
      <c r="G318" s="5"/>
    </row>
    <row r="319" spans="5:7">
      <c r="E319" s="5"/>
      <c r="F319" s="5"/>
      <c r="G319" s="5"/>
    </row>
    <row r="320" spans="5:7">
      <c r="E320" s="5"/>
      <c r="F320" s="5"/>
      <c r="G320" s="5"/>
    </row>
    <row r="321" spans="5:7">
      <c r="E321" s="5"/>
      <c r="F321" s="5"/>
      <c r="G321" s="5"/>
    </row>
    <row r="322" spans="5:7">
      <c r="E322" s="5"/>
      <c r="F322" s="5"/>
      <c r="G322" s="5"/>
    </row>
    <row r="323" spans="5:7">
      <c r="E323" s="5"/>
      <c r="F323" s="5"/>
      <c r="G323" s="5"/>
    </row>
    <row r="324" spans="5:7">
      <c r="E324" s="5"/>
      <c r="F324" s="5"/>
      <c r="G324" s="5"/>
    </row>
    <row r="325" spans="5:7">
      <c r="E325" s="5"/>
      <c r="F325" s="5"/>
      <c r="G325" s="5"/>
    </row>
    <row r="326" spans="5:7">
      <c r="E326" s="5"/>
      <c r="F326" s="5"/>
      <c r="G326" s="5"/>
    </row>
    <row r="327" spans="5:7">
      <c r="E327" s="5"/>
      <c r="F327" s="5"/>
      <c r="G327" s="5"/>
    </row>
    <row r="328" spans="5:7">
      <c r="E328" s="5"/>
      <c r="F328" s="5"/>
      <c r="G328" s="5"/>
    </row>
    <row r="329" spans="5:7">
      <c r="E329" s="5"/>
      <c r="F329" s="5"/>
      <c r="G329" s="5"/>
    </row>
    <row r="330" spans="5:7">
      <c r="E330" s="5"/>
      <c r="F330" s="5"/>
      <c r="G330" s="5"/>
    </row>
    <row r="331" spans="5:7">
      <c r="E331" s="5"/>
      <c r="F331" s="5"/>
      <c r="G331" s="5"/>
    </row>
    <row r="332" spans="5:7">
      <c r="E332" s="5"/>
      <c r="F332" s="5"/>
      <c r="G332" s="5"/>
    </row>
    <row r="333" spans="5:7">
      <c r="E333" s="5"/>
      <c r="F333" s="5"/>
      <c r="G333" s="5"/>
    </row>
    <row r="334" spans="5:7">
      <c r="E334" s="5"/>
      <c r="F334" s="5"/>
      <c r="G334" s="5"/>
    </row>
    <row r="335" spans="5:7">
      <c r="E335" s="5"/>
      <c r="F335" s="5"/>
      <c r="G335" s="5"/>
    </row>
    <row r="336" spans="5:7">
      <c r="E336" s="5"/>
      <c r="F336" s="5"/>
      <c r="G336" s="5"/>
    </row>
    <row r="337" spans="5:7">
      <c r="E337" s="5"/>
      <c r="F337" s="5"/>
      <c r="G337" s="5"/>
    </row>
    <row r="338" spans="5:7">
      <c r="E338" s="5"/>
      <c r="F338" s="5"/>
      <c r="G338" s="5"/>
    </row>
    <row r="339" spans="5:7">
      <c r="E339" s="5"/>
      <c r="F339" s="5"/>
      <c r="G339" s="5"/>
    </row>
    <row r="340" spans="5:7">
      <c r="E340" s="5"/>
      <c r="F340" s="5"/>
      <c r="G340" s="5"/>
    </row>
    <row r="341" spans="5:7">
      <c r="E341" s="5"/>
      <c r="F341" s="5"/>
      <c r="G341" s="5"/>
    </row>
    <row r="342" spans="5:7">
      <c r="E342" s="5"/>
      <c r="F342" s="5"/>
      <c r="G342" s="5"/>
    </row>
    <row r="343" spans="5:7">
      <c r="E343" s="5"/>
      <c r="F343" s="5"/>
      <c r="G343" s="5"/>
    </row>
    <row r="344" spans="5:7">
      <c r="E344" s="5"/>
      <c r="F344" s="5"/>
      <c r="G344" s="5"/>
    </row>
    <row r="345" spans="5:7">
      <c r="E345" s="5"/>
      <c r="F345" s="5"/>
      <c r="G345" s="5"/>
    </row>
    <row r="346" spans="5:7">
      <c r="E346" s="5"/>
      <c r="F346" s="5"/>
      <c r="G346" s="5"/>
    </row>
    <row r="347" spans="5:7">
      <c r="E347" s="5"/>
      <c r="F347" s="5"/>
      <c r="G347" s="5"/>
    </row>
    <row r="348" spans="5:7">
      <c r="E348" s="5"/>
      <c r="F348" s="5"/>
      <c r="G348" s="5"/>
    </row>
    <row r="349" spans="5:7">
      <c r="E349" s="5"/>
      <c r="F349" s="5"/>
      <c r="G349" s="5"/>
    </row>
    <row r="350" spans="5:7">
      <c r="E350" s="5"/>
      <c r="F350" s="5"/>
      <c r="G350" s="5"/>
    </row>
    <row r="351" spans="5:7">
      <c r="E351" s="5"/>
      <c r="F351" s="5"/>
      <c r="G351" s="5"/>
    </row>
    <row r="352" spans="5:7">
      <c r="E352" s="5"/>
      <c r="F352" s="5"/>
      <c r="G352" s="5"/>
    </row>
    <row r="353" spans="5:7">
      <c r="E353" s="5"/>
      <c r="F353" s="5"/>
      <c r="G353" s="5"/>
    </row>
    <row r="354" spans="5:7">
      <c r="E354" s="5"/>
      <c r="F354" s="5"/>
      <c r="G354" s="5"/>
    </row>
    <row r="355" spans="5:7">
      <c r="E355" s="5"/>
      <c r="F355" s="5"/>
      <c r="G355" s="5"/>
    </row>
    <row r="356" spans="5:7">
      <c r="E356" s="5"/>
      <c r="F356" s="5"/>
      <c r="G356" s="5"/>
    </row>
    <row r="357" spans="5:7">
      <c r="E357" s="5"/>
      <c r="F357" s="5"/>
      <c r="G357" s="5"/>
    </row>
    <row r="358" spans="5:7">
      <c r="E358" s="5"/>
      <c r="F358" s="5"/>
      <c r="G358" s="5"/>
    </row>
    <row r="359" spans="5:7">
      <c r="E359" s="5"/>
      <c r="F359" s="5"/>
      <c r="G359" s="5"/>
    </row>
    <row r="360" spans="5:7">
      <c r="E360" s="5"/>
      <c r="F360" s="5"/>
      <c r="G360" s="5"/>
    </row>
    <row r="361" spans="5:7">
      <c r="E361" s="5"/>
      <c r="F361" s="5"/>
      <c r="G361" s="5"/>
    </row>
    <row r="362" spans="5:7">
      <c r="E362" s="5"/>
      <c r="F362" s="5"/>
      <c r="G362" s="5"/>
    </row>
    <row r="363" spans="5:7">
      <c r="E363" s="5"/>
      <c r="F363" s="5"/>
      <c r="G363" s="5"/>
    </row>
    <row r="364" spans="5:7">
      <c r="E364" s="5"/>
      <c r="F364" s="5"/>
      <c r="G364" s="5"/>
    </row>
    <row r="365" spans="5:7">
      <c r="E365" s="5"/>
      <c r="F365" s="5"/>
      <c r="G365" s="5"/>
    </row>
    <row r="366" spans="5:7">
      <c r="E366" s="5"/>
      <c r="F366" s="5"/>
      <c r="G366" s="5"/>
    </row>
    <row r="367" spans="5:7">
      <c r="E367" s="5"/>
      <c r="F367" s="5"/>
      <c r="G367" s="5"/>
    </row>
    <row r="368" spans="5:7">
      <c r="E368" s="5"/>
      <c r="F368" s="5"/>
      <c r="G368" s="5"/>
    </row>
    <row r="369" spans="5:7">
      <c r="E369" s="5"/>
      <c r="F369" s="5"/>
      <c r="G369" s="5"/>
    </row>
    <row r="370" spans="5:7">
      <c r="E370" s="5"/>
      <c r="F370" s="5"/>
      <c r="G370" s="5"/>
    </row>
    <row r="371" spans="5:7">
      <c r="E371" s="5"/>
      <c r="F371" s="5"/>
      <c r="G371" s="5"/>
    </row>
    <row r="372" spans="5:7">
      <c r="E372" s="5"/>
      <c r="F372" s="5"/>
      <c r="G372" s="5"/>
    </row>
    <row r="373" spans="5:7">
      <c r="E373" s="5"/>
      <c r="F373" s="5"/>
      <c r="G373" s="5"/>
    </row>
    <row r="374" spans="5:7">
      <c r="E374" s="5"/>
      <c r="F374" s="5"/>
      <c r="G374" s="5"/>
    </row>
    <row r="375" spans="5:7">
      <c r="E375" s="5"/>
      <c r="F375" s="5"/>
      <c r="G375" s="5"/>
    </row>
    <row r="376" spans="5:7">
      <c r="E376" s="5"/>
      <c r="F376" s="5"/>
      <c r="G376" s="5"/>
    </row>
    <row r="377" spans="5:7">
      <c r="E377" s="5"/>
      <c r="F377" s="5"/>
      <c r="G377" s="5"/>
    </row>
    <row r="378" spans="5:7">
      <c r="E378" s="5"/>
      <c r="F378" s="5"/>
      <c r="G378" s="5"/>
    </row>
    <row r="379" spans="5:7">
      <c r="E379" s="5"/>
      <c r="F379" s="5"/>
      <c r="G379" s="5"/>
    </row>
    <row r="380" spans="5:7">
      <c r="E380" s="5"/>
      <c r="F380" s="5"/>
      <c r="G380" s="5"/>
    </row>
    <row r="381" spans="5:7">
      <c r="E381" s="5"/>
      <c r="F381" s="5"/>
      <c r="G381" s="5"/>
    </row>
    <row r="382" spans="5:7">
      <c r="E382" s="5"/>
      <c r="F382" s="5"/>
      <c r="G382" s="5"/>
    </row>
    <row r="383" spans="5:7">
      <c r="E383" s="5"/>
      <c r="F383" s="5"/>
      <c r="G383" s="5"/>
    </row>
    <row r="384" spans="5:7">
      <c r="E384" s="5"/>
      <c r="F384" s="5"/>
      <c r="G384" s="5"/>
    </row>
    <row r="385" spans="5:7">
      <c r="E385" s="5"/>
      <c r="F385" s="5"/>
      <c r="G385" s="5"/>
    </row>
    <row r="386" spans="5:7">
      <c r="E386" s="5"/>
      <c r="F386" s="5"/>
      <c r="G386" s="5"/>
    </row>
    <row r="387" spans="5:7">
      <c r="E387" s="5"/>
      <c r="F387" s="5"/>
      <c r="G387" s="5"/>
    </row>
    <row r="388" spans="5:7">
      <c r="E388" s="5"/>
      <c r="F388" s="5"/>
      <c r="G388" s="5"/>
    </row>
    <row r="389" spans="5:7">
      <c r="E389" s="5"/>
      <c r="F389" s="5"/>
      <c r="G389" s="5"/>
    </row>
    <row r="390" spans="5:7">
      <c r="E390" s="5"/>
      <c r="F390" s="5"/>
      <c r="G390" s="5"/>
    </row>
    <row r="391" spans="5:7">
      <c r="E391" s="5"/>
      <c r="F391" s="5"/>
      <c r="G391" s="5"/>
    </row>
    <row r="392" spans="5:7">
      <c r="E392" s="5"/>
      <c r="F392" s="5"/>
      <c r="G392" s="5"/>
    </row>
    <row r="393" spans="5:7">
      <c r="E393" s="5"/>
      <c r="F393" s="5"/>
      <c r="G393" s="5"/>
    </row>
    <row r="394" spans="5:7">
      <c r="E394" s="5"/>
      <c r="F394" s="5"/>
      <c r="G394" s="5"/>
    </row>
    <row r="395" spans="5:7">
      <c r="E395" s="5"/>
      <c r="F395" s="5"/>
      <c r="G395" s="5"/>
    </row>
    <row r="396" spans="5:7">
      <c r="E396" s="5"/>
      <c r="F396" s="5"/>
      <c r="G396" s="5"/>
    </row>
    <row r="397" spans="5:7">
      <c r="E397" s="5"/>
      <c r="F397" s="5"/>
      <c r="G397" s="5"/>
    </row>
    <row r="398" spans="5:7">
      <c r="E398" s="5"/>
      <c r="F398" s="5"/>
      <c r="G398" s="5"/>
    </row>
    <row r="399" spans="5:7">
      <c r="E399" s="5"/>
      <c r="F399" s="5"/>
      <c r="G399" s="5"/>
    </row>
    <row r="400" spans="5:7">
      <c r="E400" s="5"/>
      <c r="F400" s="5"/>
      <c r="G400" s="5"/>
    </row>
    <row r="401" spans="5:7">
      <c r="E401" s="5"/>
      <c r="F401" s="5"/>
      <c r="G401" s="5"/>
    </row>
    <row r="402" spans="5:7">
      <c r="E402" s="5"/>
      <c r="F402" s="5"/>
      <c r="G402" s="5"/>
    </row>
    <row r="403" spans="5:7">
      <c r="E403" s="5"/>
      <c r="F403" s="5"/>
      <c r="G403" s="5"/>
    </row>
    <row r="404" spans="5:7">
      <c r="E404" s="5"/>
      <c r="F404" s="5"/>
      <c r="G404" s="5"/>
    </row>
    <row r="405" spans="5:7">
      <c r="E405" s="5"/>
      <c r="F405" s="5"/>
      <c r="G405" s="5"/>
    </row>
    <row r="406" spans="5:7">
      <c r="E406" s="5"/>
      <c r="F406" s="5"/>
      <c r="G406" s="5"/>
    </row>
    <row r="407" spans="5:7">
      <c r="E407" s="5"/>
      <c r="F407" s="5"/>
      <c r="G407" s="5"/>
    </row>
    <row r="408" spans="5:7">
      <c r="E408" s="5"/>
      <c r="F408" s="5"/>
      <c r="G408" s="5"/>
    </row>
    <row r="409" spans="5:7">
      <c r="E409" s="5"/>
      <c r="F409" s="5"/>
      <c r="G409" s="5"/>
    </row>
    <row r="410" spans="5:7">
      <c r="E410" s="5"/>
      <c r="F410" s="5"/>
      <c r="G410" s="5"/>
    </row>
    <row r="411" spans="5:7">
      <c r="E411" s="5"/>
      <c r="F411" s="5"/>
      <c r="G411" s="5"/>
    </row>
    <row r="412" spans="5:7">
      <c r="E412" s="5"/>
      <c r="F412" s="5"/>
      <c r="G412" s="5"/>
    </row>
    <row r="413" spans="5:7">
      <c r="E413" s="5"/>
      <c r="F413" s="5"/>
      <c r="G413" s="5"/>
    </row>
    <row r="414" spans="5:7">
      <c r="E414" s="5"/>
      <c r="F414" s="5"/>
      <c r="G414" s="5"/>
    </row>
    <row r="415" spans="5:7">
      <c r="E415" s="5"/>
      <c r="F415" s="5"/>
      <c r="G415" s="5"/>
    </row>
    <row r="416" spans="5:7">
      <c r="E416" s="5"/>
      <c r="F416" s="5"/>
      <c r="G416" s="5"/>
    </row>
    <row r="417" spans="5:7">
      <c r="E417" s="5"/>
      <c r="F417" s="5"/>
      <c r="G417" s="5"/>
    </row>
    <row r="418" spans="5:7">
      <c r="E418" s="5"/>
      <c r="F418" s="5"/>
      <c r="G418" s="5"/>
    </row>
    <row r="419" spans="5:7">
      <c r="E419" s="5"/>
      <c r="F419" s="5"/>
      <c r="G419" s="5"/>
    </row>
    <row r="420" spans="5:7">
      <c r="E420" s="5"/>
      <c r="F420" s="5"/>
      <c r="G420" s="5"/>
    </row>
    <row r="421" spans="5:7">
      <c r="E421" s="5"/>
      <c r="F421" s="5"/>
      <c r="G421" s="5"/>
    </row>
    <row r="422" spans="5:7">
      <c r="E422" s="5"/>
      <c r="F422" s="5"/>
      <c r="G422" s="5"/>
    </row>
    <row r="423" spans="5:7">
      <c r="E423" s="5"/>
      <c r="F423" s="5"/>
      <c r="G423" s="5"/>
    </row>
    <row r="424" spans="5:7">
      <c r="E424" s="5"/>
      <c r="F424" s="5"/>
      <c r="G424" s="5"/>
    </row>
    <row r="425" spans="5:7">
      <c r="E425" s="5"/>
      <c r="F425" s="5"/>
      <c r="G425" s="5"/>
    </row>
    <row r="426" spans="5:7">
      <c r="E426" s="5"/>
      <c r="F426" s="5"/>
      <c r="G426" s="5"/>
    </row>
    <row r="427" spans="5:7">
      <c r="E427" s="5"/>
      <c r="F427" s="5"/>
      <c r="G427" s="5"/>
    </row>
    <row r="428" spans="5:7">
      <c r="E428" s="5"/>
      <c r="F428" s="5"/>
      <c r="G428" s="5"/>
    </row>
    <row r="429" spans="5:7">
      <c r="E429" s="5"/>
      <c r="F429" s="5"/>
      <c r="G429" s="5"/>
    </row>
    <row r="430" spans="5:7">
      <c r="E430" s="5"/>
      <c r="F430" s="5"/>
      <c r="G430" s="5"/>
    </row>
    <row r="431" spans="5:7">
      <c r="E431" s="5"/>
      <c r="F431" s="5"/>
      <c r="G431" s="5"/>
    </row>
    <row r="432" spans="5:7">
      <c r="E432" s="5"/>
      <c r="F432" s="5"/>
      <c r="G432" s="5"/>
    </row>
    <row r="433" spans="5:7">
      <c r="E433" s="5"/>
      <c r="F433" s="5"/>
      <c r="G433" s="5"/>
    </row>
    <row r="434" spans="5:7">
      <c r="E434" s="5"/>
      <c r="F434" s="5"/>
      <c r="G434" s="5"/>
    </row>
    <row r="435" spans="5:7">
      <c r="E435" s="5"/>
      <c r="F435" s="5"/>
      <c r="G435" s="5"/>
    </row>
    <row r="436" spans="5:7">
      <c r="E436" s="5"/>
      <c r="F436" s="5"/>
      <c r="G436" s="5"/>
    </row>
  </sheetData>
  <mergeCells count="4">
    <mergeCell ref="A3:G3"/>
    <mergeCell ref="A4:G4"/>
    <mergeCell ref="A5:G5"/>
    <mergeCell ref="A6:G6"/>
  </mergeCells>
  <phoneticPr fontId="5" type="noConversion"/>
  <pageMargins left="0.75" right="0.75" top="1" bottom="1" header="0.5" footer="0.5"/>
  <pageSetup scale="9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indexed="10"/>
    <pageSetUpPr fitToPage="1"/>
  </sheetPr>
  <dimension ref="A1:I436"/>
  <sheetViews>
    <sheetView workbookViewId="0">
      <selection activeCell="A3" sqref="A3:G3"/>
    </sheetView>
  </sheetViews>
  <sheetFormatPr defaultRowHeight="12.75"/>
  <cols>
    <col min="1" max="1" width="4.42578125" bestFit="1" customWidth="1"/>
    <col min="2" max="2" width="7.42578125" bestFit="1" customWidth="1"/>
    <col min="3" max="3" width="49.42578125" bestFit="1" customWidth="1"/>
    <col min="4" max="4" width="11.28515625" style="16" bestFit="1" customWidth="1"/>
    <col min="5" max="5" width="15.140625" customWidth="1"/>
    <col min="6" max="6" width="15.140625" bestFit="1" customWidth="1"/>
    <col min="7" max="7" width="12.7109375" bestFit="1" customWidth="1"/>
    <col min="9" max="9" width="9.7109375" bestFit="1" customWidth="1"/>
    <col min="10" max="10" width="8.7109375" bestFit="1" customWidth="1"/>
  </cols>
  <sheetData>
    <row r="1" spans="1:9">
      <c r="G1" t="str">
        <f>A!D1</f>
        <v>Docket No. RP16-299-000</v>
      </c>
    </row>
    <row r="2" spans="1:9">
      <c r="A2" s="927"/>
      <c r="B2" s="927"/>
      <c r="C2" s="927"/>
      <c r="D2" s="927"/>
      <c r="G2" t="s">
        <v>296</v>
      </c>
    </row>
    <row r="3" spans="1:9">
      <c r="A3" s="927" t="str">
        <f>'Sched C-4'!A3:G3</f>
        <v>Tuscarora Gas Transmission Company</v>
      </c>
      <c r="B3" s="927"/>
      <c r="C3" s="927"/>
      <c r="D3" s="927"/>
      <c r="E3" s="927"/>
      <c r="F3" s="927"/>
      <c r="G3" s="927"/>
    </row>
    <row r="4" spans="1:9">
      <c r="A4" s="927" t="s">
        <v>294</v>
      </c>
      <c r="B4" s="927"/>
      <c r="C4" s="927"/>
      <c r="D4" s="927"/>
      <c r="E4" s="927"/>
      <c r="F4" s="927"/>
      <c r="G4" s="927"/>
    </row>
    <row r="5" spans="1:9">
      <c r="A5" s="927" t="s">
        <v>295</v>
      </c>
      <c r="B5" s="927"/>
      <c r="C5" s="927"/>
      <c r="D5" s="927"/>
      <c r="E5" s="927"/>
      <c r="F5" s="927"/>
      <c r="G5" s="927"/>
    </row>
    <row r="6" spans="1:9">
      <c r="A6" s="927"/>
      <c r="B6" s="927"/>
      <c r="C6" s="927"/>
      <c r="D6" s="927"/>
    </row>
    <row r="8" spans="1:9">
      <c r="I8" s="2"/>
    </row>
    <row r="9" spans="1:9">
      <c r="D9"/>
    </row>
    <row r="10" spans="1:9">
      <c r="D10"/>
    </row>
    <row r="11" spans="1:9">
      <c r="D11"/>
    </row>
    <row r="12" spans="1:9">
      <c r="D12" s="14"/>
      <c r="E12" s="2"/>
      <c r="F12" s="2"/>
      <c r="G12" s="2"/>
    </row>
    <row r="13" spans="1:9">
      <c r="C13" s="72" t="s">
        <v>449</v>
      </c>
      <c r="D13"/>
    </row>
    <row r="14" spans="1:9">
      <c r="D14"/>
    </row>
    <row r="15" spans="1:9">
      <c r="D15"/>
    </row>
    <row r="16" spans="1:9">
      <c r="D16"/>
    </row>
    <row r="17" spans="4:4">
      <c r="D17"/>
    </row>
    <row r="18" spans="4:4">
      <c r="D18"/>
    </row>
    <row r="19" spans="4:4">
      <c r="D19"/>
    </row>
    <row r="20" spans="4:4">
      <c r="D20"/>
    </row>
    <row r="21" spans="4:4">
      <c r="D21"/>
    </row>
    <row r="22" spans="4:4">
      <c r="D22"/>
    </row>
    <row r="23" spans="4:4">
      <c r="D23"/>
    </row>
    <row r="24" spans="4:4">
      <c r="D24"/>
    </row>
    <row r="25" spans="4:4">
      <c r="D25"/>
    </row>
    <row r="26" spans="4:4">
      <c r="D26"/>
    </row>
    <row r="27" spans="4:4">
      <c r="D27"/>
    </row>
    <row r="28" spans="4:4">
      <c r="D28"/>
    </row>
    <row r="29" spans="4:4">
      <c r="D29"/>
    </row>
    <row r="30" spans="4:4">
      <c r="D30"/>
    </row>
    <row r="31" spans="4:4">
      <c r="D31"/>
    </row>
    <row r="32" spans="4:4">
      <c r="D32"/>
    </row>
    <row r="33" spans="4:4">
      <c r="D33"/>
    </row>
    <row r="34" spans="4:4">
      <c r="D34"/>
    </row>
    <row r="35" spans="4:4">
      <c r="D35"/>
    </row>
    <row r="36" spans="4:4">
      <c r="D36"/>
    </row>
    <row r="37" spans="4:4">
      <c r="D37"/>
    </row>
    <row r="38" spans="4:4">
      <c r="D38"/>
    </row>
    <row r="39" spans="4:4">
      <c r="D39"/>
    </row>
    <row r="40" spans="4:4">
      <c r="D40"/>
    </row>
    <row r="41" spans="4:4">
      <c r="D41"/>
    </row>
    <row r="42" spans="4:4">
      <c r="D42"/>
    </row>
    <row r="43" spans="4:4">
      <c r="D43"/>
    </row>
    <row r="44" spans="4:4">
      <c r="D44"/>
    </row>
    <row r="45" spans="4:4">
      <c r="D45"/>
    </row>
    <row r="46" spans="4:4">
      <c r="D46"/>
    </row>
    <row r="47" spans="4:4">
      <c r="D47"/>
    </row>
    <row r="48" spans="4:4">
      <c r="D48"/>
    </row>
    <row r="49" spans="4:7">
      <c r="D49"/>
    </row>
    <row r="50" spans="4:7">
      <c r="D50"/>
    </row>
    <row r="51" spans="4:7">
      <c r="D51"/>
    </row>
    <row r="52" spans="4:7">
      <c r="D52"/>
    </row>
    <row r="53" spans="4:7">
      <c r="E53" s="5"/>
      <c r="F53" s="5"/>
      <c r="G53" s="5"/>
    </row>
    <row r="54" spans="4:7">
      <c r="E54" s="5"/>
      <c r="F54" s="5"/>
      <c r="G54" s="5"/>
    </row>
    <row r="55" spans="4:7">
      <c r="E55" s="5"/>
      <c r="F55" s="5"/>
      <c r="G55" s="5"/>
    </row>
    <row r="56" spans="4:7">
      <c r="E56" s="5"/>
      <c r="F56" s="5"/>
      <c r="G56" s="5"/>
    </row>
    <row r="57" spans="4:7">
      <c r="E57" s="5"/>
      <c r="F57" s="5"/>
      <c r="G57" s="5"/>
    </row>
    <row r="58" spans="4:7">
      <c r="E58" s="5"/>
      <c r="F58" s="5"/>
      <c r="G58" s="5"/>
    </row>
    <row r="59" spans="4:7">
      <c r="E59" s="5"/>
      <c r="F59" s="5"/>
      <c r="G59" s="5"/>
    </row>
    <row r="60" spans="4:7">
      <c r="E60" s="5"/>
      <c r="F60" s="5"/>
      <c r="G60" s="5"/>
    </row>
    <row r="61" spans="4:7">
      <c r="E61" s="5"/>
      <c r="F61" s="5"/>
      <c r="G61" s="5"/>
    </row>
    <row r="62" spans="4:7">
      <c r="E62" s="5"/>
      <c r="F62" s="5"/>
      <c r="G62" s="5"/>
    </row>
    <row r="63" spans="4:7">
      <c r="E63" s="5"/>
      <c r="F63" s="5"/>
      <c r="G63" s="5"/>
    </row>
    <row r="64" spans="4:7">
      <c r="E64" s="5"/>
      <c r="F64" s="5"/>
      <c r="G64" s="5"/>
    </row>
    <row r="65" spans="5:7">
      <c r="E65" s="5"/>
      <c r="F65" s="5"/>
      <c r="G65" s="5"/>
    </row>
    <row r="66" spans="5:7">
      <c r="E66" s="5"/>
      <c r="F66" s="5"/>
      <c r="G66" s="5"/>
    </row>
    <row r="67" spans="5:7">
      <c r="E67" s="5"/>
      <c r="F67" s="5"/>
      <c r="G67" s="5"/>
    </row>
    <row r="68" spans="5:7">
      <c r="E68" s="5"/>
      <c r="F68" s="5"/>
      <c r="G68" s="5"/>
    </row>
    <row r="69" spans="5:7">
      <c r="E69" s="5"/>
      <c r="F69" s="5"/>
      <c r="G69" s="5"/>
    </row>
    <row r="70" spans="5:7">
      <c r="E70" s="5"/>
      <c r="F70" s="5"/>
      <c r="G70" s="5"/>
    </row>
    <row r="71" spans="5:7">
      <c r="E71" s="5"/>
      <c r="F71" s="5"/>
      <c r="G71" s="5"/>
    </row>
    <row r="72" spans="5:7">
      <c r="E72" s="5"/>
      <c r="F72" s="5"/>
      <c r="G72" s="5"/>
    </row>
    <row r="73" spans="5:7">
      <c r="E73" s="5"/>
      <c r="F73" s="5"/>
      <c r="G73" s="5"/>
    </row>
    <row r="74" spans="5:7">
      <c r="E74" s="5"/>
      <c r="F74" s="5"/>
      <c r="G74" s="5"/>
    </row>
    <row r="75" spans="5:7">
      <c r="E75" s="5"/>
      <c r="F75" s="5"/>
      <c r="G75" s="5"/>
    </row>
    <row r="76" spans="5:7">
      <c r="E76" s="5"/>
      <c r="F76" s="5"/>
      <c r="G76" s="5"/>
    </row>
    <row r="77" spans="5:7">
      <c r="E77" s="5"/>
      <c r="F77" s="5"/>
      <c r="G77" s="5"/>
    </row>
    <row r="78" spans="5:7">
      <c r="E78" s="5"/>
      <c r="F78" s="5"/>
      <c r="G78" s="5"/>
    </row>
    <row r="79" spans="5:7">
      <c r="E79" s="5"/>
      <c r="F79" s="5"/>
      <c r="G79" s="5"/>
    </row>
    <row r="80" spans="5:7">
      <c r="E80" s="5"/>
      <c r="F80" s="5"/>
      <c r="G80" s="5"/>
    </row>
    <row r="81" spans="5:7">
      <c r="E81" s="5"/>
      <c r="F81" s="5"/>
      <c r="G81" s="5"/>
    </row>
    <row r="82" spans="5:7">
      <c r="E82" s="5"/>
      <c r="F82" s="5"/>
      <c r="G82" s="5"/>
    </row>
    <row r="83" spans="5:7">
      <c r="E83" s="5"/>
      <c r="F83" s="5"/>
      <c r="G83" s="5"/>
    </row>
    <row r="84" spans="5:7">
      <c r="E84" s="5"/>
      <c r="F84" s="5"/>
      <c r="G84" s="5"/>
    </row>
    <row r="85" spans="5:7">
      <c r="E85" s="5"/>
      <c r="F85" s="5"/>
      <c r="G85" s="5"/>
    </row>
    <row r="86" spans="5:7">
      <c r="E86" s="5"/>
      <c r="F86" s="5"/>
      <c r="G86" s="5"/>
    </row>
    <row r="87" spans="5:7">
      <c r="E87" s="5"/>
      <c r="F87" s="5"/>
      <c r="G87" s="5"/>
    </row>
    <row r="88" spans="5:7">
      <c r="E88" s="5"/>
      <c r="F88" s="5"/>
      <c r="G88" s="5"/>
    </row>
    <row r="89" spans="5:7">
      <c r="E89" s="5"/>
      <c r="F89" s="5"/>
      <c r="G89" s="5"/>
    </row>
    <row r="90" spans="5:7">
      <c r="E90" s="5"/>
      <c r="F90" s="5"/>
      <c r="G90" s="5"/>
    </row>
    <row r="91" spans="5:7">
      <c r="E91" s="5"/>
      <c r="F91" s="5"/>
      <c r="G91" s="5"/>
    </row>
    <row r="92" spans="5:7">
      <c r="E92" s="5"/>
      <c r="F92" s="5"/>
      <c r="G92" s="5"/>
    </row>
    <row r="93" spans="5:7">
      <c r="E93" s="5"/>
      <c r="F93" s="5"/>
      <c r="G93" s="5"/>
    </row>
    <row r="94" spans="5:7">
      <c r="E94" s="5"/>
      <c r="F94" s="5"/>
      <c r="G94" s="5"/>
    </row>
    <row r="95" spans="5:7">
      <c r="E95" s="5"/>
      <c r="F95" s="5"/>
      <c r="G95" s="5"/>
    </row>
    <row r="96" spans="5:7">
      <c r="E96" s="5"/>
      <c r="F96" s="5"/>
      <c r="G96" s="5"/>
    </row>
    <row r="97" spans="5:7">
      <c r="E97" s="5"/>
      <c r="F97" s="5"/>
      <c r="G97" s="5"/>
    </row>
    <row r="98" spans="5:7">
      <c r="E98" s="5"/>
      <c r="F98" s="5"/>
      <c r="G98" s="5"/>
    </row>
    <row r="99" spans="5:7">
      <c r="E99" s="5"/>
      <c r="F99" s="5"/>
      <c r="G99" s="5"/>
    </row>
    <row r="100" spans="5:7">
      <c r="E100" s="5"/>
      <c r="F100" s="5"/>
      <c r="G100" s="5"/>
    </row>
    <row r="101" spans="5:7">
      <c r="E101" s="5"/>
      <c r="F101" s="5"/>
      <c r="G101" s="5"/>
    </row>
    <row r="102" spans="5:7">
      <c r="E102" s="5"/>
      <c r="F102" s="5"/>
      <c r="G102" s="5"/>
    </row>
    <row r="103" spans="5:7">
      <c r="E103" s="5"/>
      <c r="F103" s="5"/>
      <c r="G103" s="5"/>
    </row>
    <row r="104" spans="5:7">
      <c r="E104" s="5"/>
      <c r="F104" s="5"/>
      <c r="G104" s="5"/>
    </row>
    <row r="105" spans="5:7">
      <c r="E105" s="5"/>
      <c r="F105" s="5"/>
      <c r="G105" s="5"/>
    </row>
    <row r="106" spans="5:7">
      <c r="E106" s="5"/>
      <c r="F106" s="5"/>
      <c r="G106" s="5"/>
    </row>
    <row r="107" spans="5:7">
      <c r="E107" s="5"/>
      <c r="F107" s="5"/>
      <c r="G107" s="5"/>
    </row>
    <row r="108" spans="5:7">
      <c r="E108" s="5"/>
      <c r="F108" s="5"/>
      <c r="G108" s="5"/>
    </row>
    <row r="109" spans="5:7">
      <c r="E109" s="5"/>
      <c r="F109" s="5"/>
      <c r="G109" s="5"/>
    </row>
    <row r="110" spans="5:7">
      <c r="E110" s="5"/>
      <c r="F110" s="5"/>
      <c r="G110" s="5"/>
    </row>
    <row r="111" spans="5:7">
      <c r="E111" s="5"/>
      <c r="F111" s="5"/>
      <c r="G111" s="5"/>
    </row>
    <row r="112" spans="5:7">
      <c r="E112" s="5"/>
      <c r="F112" s="5"/>
      <c r="G112" s="5"/>
    </row>
    <row r="113" spans="5:7">
      <c r="E113" s="5"/>
      <c r="F113" s="5"/>
      <c r="G113" s="5"/>
    </row>
    <row r="114" spans="5:7">
      <c r="E114" s="5"/>
      <c r="F114" s="5"/>
      <c r="G114" s="5"/>
    </row>
    <row r="115" spans="5:7">
      <c r="E115" s="5"/>
      <c r="F115" s="5"/>
      <c r="G115" s="5"/>
    </row>
    <row r="116" spans="5:7">
      <c r="E116" s="5"/>
      <c r="F116" s="5"/>
      <c r="G116" s="5"/>
    </row>
    <row r="117" spans="5:7">
      <c r="E117" s="5"/>
      <c r="F117" s="5"/>
      <c r="G117" s="5"/>
    </row>
    <row r="118" spans="5:7">
      <c r="E118" s="5"/>
      <c r="F118" s="5"/>
      <c r="G118" s="5"/>
    </row>
    <row r="119" spans="5:7">
      <c r="E119" s="5"/>
      <c r="F119" s="5"/>
      <c r="G119" s="5"/>
    </row>
    <row r="120" spans="5:7">
      <c r="E120" s="5"/>
      <c r="F120" s="5"/>
      <c r="G120" s="5"/>
    </row>
    <row r="121" spans="5:7">
      <c r="E121" s="5"/>
      <c r="F121" s="5"/>
      <c r="G121" s="5"/>
    </row>
    <row r="122" spans="5:7">
      <c r="E122" s="5"/>
      <c r="F122" s="5"/>
      <c r="G122" s="5"/>
    </row>
    <row r="123" spans="5:7">
      <c r="E123" s="5"/>
      <c r="F123" s="5"/>
      <c r="G123" s="5"/>
    </row>
    <row r="124" spans="5:7">
      <c r="E124" s="5"/>
      <c r="F124" s="5"/>
      <c r="G124" s="5"/>
    </row>
    <row r="125" spans="5:7">
      <c r="E125" s="5"/>
      <c r="F125" s="5"/>
      <c r="G125" s="5"/>
    </row>
    <row r="126" spans="5:7">
      <c r="E126" s="5"/>
      <c r="F126" s="5"/>
      <c r="G126" s="5"/>
    </row>
    <row r="127" spans="5:7">
      <c r="E127" s="5"/>
      <c r="F127" s="5"/>
      <c r="G127" s="5"/>
    </row>
    <row r="128" spans="5:7">
      <c r="E128" s="5"/>
      <c r="F128" s="5"/>
      <c r="G128" s="5"/>
    </row>
    <row r="129" spans="5:7">
      <c r="E129" s="5"/>
      <c r="F129" s="5"/>
      <c r="G129" s="5"/>
    </row>
    <row r="130" spans="5:7">
      <c r="E130" s="5"/>
      <c r="F130" s="5"/>
      <c r="G130" s="5"/>
    </row>
    <row r="131" spans="5:7">
      <c r="E131" s="5"/>
      <c r="F131" s="5"/>
      <c r="G131" s="5"/>
    </row>
    <row r="132" spans="5:7">
      <c r="E132" s="5"/>
      <c r="F132" s="5"/>
      <c r="G132" s="5"/>
    </row>
    <row r="133" spans="5:7">
      <c r="E133" s="5"/>
      <c r="F133" s="5"/>
      <c r="G133" s="5"/>
    </row>
    <row r="134" spans="5:7">
      <c r="E134" s="5"/>
      <c r="F134" s="5"/>
      <c r="G134" s="5"/>
    </row>
    <row r="135" spans="5:7">
      <c r="E135" s="5"/>
      <c r="F135" s="5"/>
      <c r="G135" s="5"/>
    </row>
    <row r="136" spans="5:7">
      <c r="E136" s="5"/>
      <c r="F136" s="5"/>
      <c r="G136" s="5"/>
    </row>
    <row r="137" spans="5:7">
      <c r="E137" s="5"/>
      <c r="F137" s="5"/>
      <c r="G137" s="5"/>
    </row>
    <row r="138" spans="5:7">
      <c r="E138" s="5"/>
      <c r="F138" s="5"/>
      <c r="G138" s="5"/>
    </row>
    <row r="139" spans="5:7">
      <c r="E139" s="5"/>
      <c r="F139" s="5"/>
      <c r="G139" s="5"/>
    </row>
    <row r="140" spans="5:7">
      <c r="E140" s="5"/>
      <c r="F140" s="5"/>
      <c r="G140" s="5"/>
    </row>
    <row r="141" spans="5:7">
      <c r="E141" s="5"/>
      <c r="F141" s="5"/>
      <c r="G141" s="5"/>
    </row>
    <row r="142" spans="5:7">
      <c r="E142" s="5"/>
      <c r="F142" s="5"/>
      <c r="G142" s="5"/>
    </row>
    <row r="143" spans="5:7">
      <c r="E143" s="5"/>
      <c r="F143" s="5"/>
      <c r="G143" s="5"/>
    </row>
    <row r="144" spans="5:7">
      <c r="E144" s="5"/>
      <c r="F144" s="5"/>
      <c r="G144" s="5"/>
    </row>
    <row r="145" spans="5:7">
      <c r="E145" s="5"/>
      <c r="F145" s="5"/>
      <c r="G145" s="5"/>
    </row>
    <row r="146" spans="5:7">
      <c r="E146" s="5"/>
      <c r="F146" s="5"/>
      <c r="G146" s="5"/>
    </row>
    <row r="147" spans="5:7">
      <c r="E147" s="5"/>
      <c r="F147" s="5"/>
      <c r="G147" s="5"/>
    </row>
    <row r="148" spans="5:7">
      <c r="E148" s="5"/>
      <c r="F148" s="5"/>
      <c r="G148" s="5"/>
    </row>
    <row r="149" spans="5:7">
      <c r="E149" s="5"/>
      <c r="F149" s="5"/>
      <c r="G149" s="5"/>
    </row>
    <row r="150" spans="5:7">
      <c r="E150" s="5"/>
      <c r="F150" s="5"/>
      <c r="G150" s="5"/>
    </row>
    <row r="151" spans="5:7">
      <c r="E151" s="5"/>
      <c r="F151" s="5"/>
      <c r="G151" s="5"/>
    </row>
    <row r="152" spans="5:7">
      <c r="E152" s="5"/>
      <c r="F152" s="5"/>
      <c r="G152" s="5"/>
    </row>
    <row r="153" spans="5:7">
      <c r="E153" s="5"/>
      <c r="F153" s="5"/>
      <c r="G153" s="5"/>
    </row>
    <row r="154" spans="5:7">
      <c r="E154" s="5"/>
      <c r="F154" s="5"/>
      <c r="G154" s="5"/>
    </row>
    <row r="155" spans="5:7">
      <c r="E155" s="5"/>
      <c r="F155" s="5"/>
      <c r="G155" s="5"/>
    </row>
    <row r="156" spans="5:7">
      <c r="E156" s="5"/>
      <c r="F156" s="5"/>
      <c r="G156" s="5"/>
    </row>
    <row r="157" spans="5:7">
      <c r="E157" s="5"/>
      <c r="F157" s="5"/>
      <c r="G157" s="5"/>
    </row>
    <row r="158" spans="5:7">
      <c r="E158" s="5"/>
      <c r="F158" s="5"/>
      <c r="G158" s="5"/>
    </row>
    <row r="159" spans="5:7">
      <c r="E159" s="5"/>
      <c r="F159" s="5"/>
      <c r="G159" s="5"/>
    </row>
    <row r="160" spans="5:7">
      <c r="E160" s="5"/>
      <c r="F160" s="5"/>
      <c r="G160" s="5"/>
    </row>
    <row r="161" spans="5:7">
      <c r="E161" s="5"/>
      <c r="F161" s="5"/>
      <c r="G161" s="5"/>
    </row>
    <row r="162" spans="5:7">
      <c r="E162" s="5"/>
      <c r="F162" s="5"/>
      <c r="G162" s="5"/>
    </row>
    <row r="163" spans="5:7">
      <c r="E163" s="5"/>
      <c r="F163" s="5"/>
      <c r="G163" s="5"/>
    </row>
    <row r="164" spans="5:7">
      <c r="E164" s="5"/>
      <c r="F164" s="5"/>
      <c r="G164" s="5"/>
    </row>
    <row r="165" spans="5:7">
      <c r="E165" s="5"/>
      <c r="F165" s="5"/>
      <c r="G165" s="5"/>
    </row>
    <row r="166" spans="5:7">
      <c r="E166" s="5"/>
      <c r="F166" s="5"/>
      <c r="G166" s="5"/>
    </row>
    <row r="167" spans="5:7">
      <c r="E167" s="5"/>
      <c r="F167" s="5"/>
      <c r="G167" s="5"/>
    </row>
    <row r="168" spans="5:7">
      <c r="E168" s="5"/>
      <c r="F168" s="5"/>
      <c r="G168" s="5"/>
    </row>
    <row r="169" spans="5:7">
      <c r="E169" s="5"/>
      <c r="F169" s="5"/>
      <c r="G169" s="5"/>
    </row>
    <row r="170" spans="5:7">
      <c r="E170" s="5"/>
      <c r="F170" s="5"/>
      <c r="G170" s="5"/>
    </row>
    <row r="171" spans="5:7">
      <c r="E171" s="5"/>
      <c r="F171" s="5"/>
      <c r="G171" s="5"/>
    </row>
    <row r="172" spans="5:7">
      <c r="E172" s="5"/>
      <c r="F172" s="5"/>
      <c r="G172" s="5"/>
    </row>
    <row r="173" spans="5:7">
      <c r="E173" s="5"/>
      <c r="F173" s="5"/>
      <c r="G173" s="5"/>
    </row>
    <row r="174" spans="5:7">
      <c r="E174" s="5"/>
      <c r="F174" s="5"/>
      <c r="G174" s="5"/>
    </row>
    <row r="175" spans="5:7">
      <c r="E175" s="5"/>
      <c r="F175" s="5"/>
      <c r="G175" s="5"/>
    </row>
    <row r="176" spans="5:7">
      <c r="E176" s="5"/>
      <c r="F176" s="5"/>
      <c r="G176" s="5"/>
    </row>
    <row r="177" spans="5:7">
      <c r="E177" s="5"/>
      <c r="F177" s="5"/>
      <c r="G177" s="5"/>
    </row>
    <row r="178" spans="5:7">
      <c r="E178" s="5"/>
      <c r="F178" s="5"/>
      <c r="G178" s="5"/>
    </row>
    <row r="179" spans="5:7">
      <c r="E179" s="5"/>
      <c r="F179" s="5"/>
      <c r="G179" s="5"/>
    </row>
    <row r="180" spans="5:7">
      <c r="E180" s="5"/>
      <c r="F180" s="5"/>
      <c r="G180" s="5"/>
    </row>
    <row r="181" spans="5:7">
      <c r="E181" s="5"/>
      <c r="F181" s="5"/>
      <c r="G181" s="5"/>
    </row>
    <row r="182" spans="5:7">
      <c r="E182" s="5"/>
      <c r="F182" s="5"/>
      <c r="G182" s="5"/>
    </row>
    <row r="183" spans="5:7">
      <c r="E183" s="5"/>
      <c r="F183" s="5"/>
      <c r="G183" s="5"/>
    </row>
    <row r="184" spans="5:7">
      <c r="E184" s="5"/>
      <c r="F184" s="5"/>
      <c r="G184" s="5"/>
    </row>
    <row r="185" spans="5:7">
      <c r="E185" s="5"/>
      <c r="F185" s="5"/>
      <c r="G185" s="5"/>
    </row>
    <row r="186" spans="5:7">
      <c r="E186" s="5"/>
      <c r="F186" s="5"/>
      <c r="G186" s="5"/>
    </row>
    <row r="187" spans="5:7">
      <c r="E187" s="5"/>
      <c r="F187" s="5"/>
      <c r="G187" s="5"/>
    </row>
    <row r="188" spans="5:7">
      <c r="E188" s="5"/>
      <c r="F188" s="5"/>
      <c r="G188" s="5"/>
    </row>
    <row r="189" spans="5:7">
      <c r="E189" s="5"/>
      <c r="F189" s="5"/>
      <c r="G189" s="5"/>
    </row>
    <row r="190" spans="5:7">
      <c r="E190" s="5"/>
      <c r="F190" s="5"/>
      <c r="G190" s="5"/>
    </row>
    <row r="191" spans="5:7">
      <c r="E191" s="5"/>
      <c r="F191" s="5"/>
      <c r="G191" s="5"/>
    </row>
    <row r="192" spans="5:7">
      <c r="E192" s="5"/>
      <c r="F192" s="5"/>
      <c r="G192" s="5"/>
    </row>
    <row r="193" spans="5:7">
      <c r="E193" s="5"/>
      <c r="F193" s="5"/>
      <c r="G193" s="5"/>
    </row>
    <row r="194" spans="5:7">
      <c r="E194" s="5"/>
      <c r="F194" s="5"/>
      <c r="G194" s="5"/>
    </row>
    <row r="195" spans="5:7">
      <c r="E195" s="5"/>
      <c r="F195" s="5"/>
      <c r="G195" s="5"/>
    </row>
    <row r="196" spans="5:7">
      <c r="E196" s="5"/>
      <c r="F196" s="5"/>
      <c r="G196" s="5"/>
    </row>
    <row r="197" spans="5:7">
      <c r="E197" s="5"/>
      <c r="F197" s="5"/>
      <c r="G197" s="5"/>
    </row>
    <row r="198" spans="5:7">
      <c r="E198" s="5"/>
      <c r="F198" s="5"/>
      <c r="G198" s="5"/>
    </row>
    <row r="199" spans="5:7">
      <c r="E199" s="5"/>
      <c r="F199" s="5"/>
      <c r="G199" s="5"/>
    </row>
    <row r="200" spans="5:7">
      <c r="E200" s="5"/>
      <c r="F200" s="5"/>
      <c r="G200" s="5"/>
    </row>
    <row r="201" spans="5:7">
      <c r="E201" s="5"/>
      <c r="F201" s="5"/>
      <c r="G201" s="5"/>
    </row>
    <row r="202" spans="5:7">
      <c r="E202" s="5"/>
      <c r="F202" s="5"/>
      <c r="G202" s="5"/>
    </row>
    <row r="203" spans="5:7">
      <c r="E203" s="5"/>
      <c r="F203" s="5"/>
      <c r="G203" s="5"/>
    </row>
    <row r="204" spans="5:7">
      <c r="E204" s="5"/>
      <c r="F204" s="5"/>
      <c r="G204" s="5"/>
    </row>
    <row r="205" spans="5:7">
      <c r="E205" s="5"/>
      <c r="F205" s="5"/>
      <c r="G205" s="5"/>
    </row>
    <row r="206" spans="5:7">
      <c r="E206" s="5"/>
      <c r="F206" s="5"/>
      <c r="G206" s="5"/>
    </row>
    <row r="207" spans="5:7">
      <c r="E207" s="5"/>
      <c r="F207" s="5"/>
      <c r="G207" s="5"/>
    </row>
    <row r="208" spans="5:7">
      <c r="E208" s="5"/>
      <c r="F208" s="5"/>
      <c r="G208" s="5"/>
    </row>
    <row r="209" spans="5:7">
      <c r="E209" s="5"/>
      <c r="F209" s="5"/>
      <c r="G209" s="5"/>
    </row>
    <row r="210" spans="5:7">
      <c r="E210" s="5"/>
      <c r="F210" s="5"/>
      <c r="G210" s="5"/>
    </row>
    <row r="211" spans="5:7">
      <c r="E211" s="5"/>
      <c r="F211" s="5"/>
      <c r="G211" s="5"/>
    </row>
    <row r="212" spans="5:7">
      <c r="E212" s="5"/>
      <c r="F212" s="5"/>
      <c r="G212" s="5"/>
    </row>
    <row r="213" spans="5:7">
      <c r="E213" s="5"/>
      <c r="F213" s="5"/>
      <c r="G213" s="5"/>
    </row>
    <row r="214" spans="5:7">
      <c r="E214" s="5"/>
      <c r="F214" s="5"/>
      <c r="G214" s="5"/>
    </row>
    <row r="215" spans="5:7">
      <c r="E215" s="5"/>
      <c r="F215" s="5"/>
      <c r="G215" s="5"/>
    </row>
    <row r="216" spans="5:7">
      <c r="E216" s="5"/>
      <c r="F216" s="5"/>
      <c r="G216" s="5"/>
    </row>
    <row r="217" spans="5:7">
      <c r="E217" s="5"/>
      <c r="F217" s="5"/>
      <c r="G217" s="5"/>
    </row>
    <row r="218" spans="5:7">
      <c r="E218" s="5"/>
      <c r="F218" s="5"/>
      <c r="G218" s="5"/>
    </row>
    <row r="219" spans="5:7">
      <c r="E219" s="5"/>
      <c r="F219" s="5"/>
      <c r="G219" s="5"/>
    </row>
    <row r="220" spans="5:7">
      <c r="E220" s="5"/>
      <c r="F220" s="5"/>
      <c r="G220" s="5"/>
    </row>
    <row r="221" spans="5:7">
      <c r="E221" s="5"/>
      <c r="F221" s="5"/>
      <c r="G221" s="5"/>
    </row>
    <row r="222" spans="5:7">
      <c r="E222" s="5"/>
      <c r="F222" s="5"/>
      <c r="G222" s="5"/>
    </row>
    <row r="223" spans="5:7">
      <c r="E223" s="5"/>
      <c r="F223" s="5"/>
      <c r="G223" s="5"/>
    </row>
    <row r="224" spans="5:7">
      <c r="E224" s="5"/>
      <c r="F224" s="5"/>
      <c r="G224" s="5"/>
    </row>
    <row r="225" spans="5:7">
      <c r="E225" s="5"/>
      <c r="F225" s="5"/>
      <c r="G225" s="5"/>
    </row>
    <row r="226" spans="5:7">
      <c r="E226" s="5"/>
      <c r="F226" s="5"/>
      <c r="G226" s="5"/>
    </row>
    <row r="227" spans="5:7">
      <c r="E227" s="5"/>
      <c r="F227" s="5"/>
      <c r="G227" s="5"/>
    </row>
    <row r="228" spans="5:7">
      <c r="E228" s="5"/>
      <c r="F228" s="5"/>
      <c r="G228" s="5"/>
    </row>
    <row r="229" spans="5:7">
      <c r="E229" s="5"/>
      <c r="F229" s="5"/>
      <c r="G229" s="5"/>
    </row>
    <row r="230" spans="5:7">
      <c r="E230" s="5"/>
      <c r="F230" s="5"/>
      <c r="G230" s="5"/>
    </row>
    <row r="231" spans="5:7">
      <c r="E231" s="5"/>
      <c r="F231" s="5"/>
      <c r="G231" s="5"/>
    </row>
    <row r="232" spans="5:7">
      <c r="E232" s="5"/>
      <c r="F232" s="5"/>
      <c r="G232" s="5"/>
    </row>
    <row r="233" spans="5:7">
      <c r="E233" s="5"/>
      <c r="F233" s="5"/>
      <c r="G233" s="5"/>
    </row>
    <row r="234" spans="5:7">
      <c r="E234" s="5"/>
      <c r="F234" s="5"/>
      <c r="G234" s="5"/>
    </row>
    <row r="235" spans="5:7">
      <c r="E235" s="5"/>
      <c r="F235" s="5"/>
      <c r="G235" s="5"/>
    </row>
    <row r="236" spans="5:7">
      <c r="E236" s="5"/>
      <c r="F236" s="5"/>
      <c r="G236" s="5"/>
    </row>
    <row r="237" spans="5:7">
      <c r="E237" s="5"/>
      <c r="F237" s="5"/>
      <c r="G237" s="5"/>
    </row>
    <row r="238" spans="5:7">
      <c r="E238" s="5"/>
      <c r="F238" s="5"/>
      <c r="G238" s="5"/>
    </row>
    <row r="239" spans="5:7">
      <c r="E239" s="5"/>
      <c r="F239" s="5"/>
      <c r="G239" s="5"/>
    </row>
    <row r="240" spans="5:7">
      <c r="E240" s="5"/>
      <c r="F240" s="5"/>
      <c r="G240" s="5"/>
    </row>
    <row r="241" spans="5:7">
      <c r="E241" s="5"/>
      <c r="F241" s="5"/>
      <c r="G241" s="5"/>
    </row>
    <row r="242" spans="5:7">
      <c r="E242" s="5"/>
      <c r="F242" s="5"/>
      <c r="G242" s="5"/>
    </row>
    <row r="243" spans="5:7">
      <c r="E243" s="5"/>
      <c r="F243" s="5"/>
      <c r="G243" s="5"/>
    </row>
    <row r="244" spans="5:7">
      <c r="E244" s="5"/>
      <c r="F244" s="5"/>
      <c r="G244" s="5"/>
    </row>
    <row r="245" spans="5:7">
      <c r="E245" s="5"/>
      <c r="F245" s="5"/>
      <c r="G245" s="5"/>
    </row>
    <row r="246" spans="5:7">
      <c r="E246" s="5"/>
      <c r="F246" s="5"/>
      <c r="G246" s="5"/>
    </row>
    <row r="247" spans="5:7">
      <c r="E247" s="5"/>
      <c r="F247" s="5"/>
      <c r="G247" s="5"/>
    </row>
    <row r="248" spans="5:7">
      <c r="E248" s="5"/>
      <c r="F248" s="5"/>
      <c r="G248" s="5"/>
    </row>
    <row r="249" spans="5:7">
      <c r="E249" s="5"/>
      <c r="F249" s="5"/>
      <c r="G249" s="5"/>
    </row>
    <row r="250" spans="5:7">
      <c r="E250" s="5"/>
      <c r="F250" s="5"/>
      <c r="G250" s="5"/>
    </row>
    <row r="251" spans="5:7">
      <c r="E251" s="5"/>
      <c r="F251" s="5"/>
      <c r="G251" s="5"/>
    </row>
    <row r="252" spans="5:7">
      <c r="E252" s="5"/>
      <c r="F252" s="5"/>
      <c r="G252" s="5"/>
    </row>
    <row r="253" spans="5:7">
      <c r="E253" s="5"/>
      <c r="F253" s="5"/>
      <c r="G253" s="5"/>
    </row>
    <row r="254" spans="5:7">
      <c r="E254" s="5"/>
      <c r="F254" s="5"/>
      <c r="G254" s="5"/>
    </row>
    <row r="255" spans="5:7">
      <c r="E255" s="5"/>
      <c r="F255" s="5"/>
      <c r="G255" s="5"/>
    </row>
    <row r="256" spans="5:7">
      <c r="E256" s="5"/>
      <c r="F256" s="5"/>
      <c r="G256" s="5"/>
    </row>
    <row r="257" spans="5:7">
      <c r="E257" s="5"/>
      <c r="F257" s="5"/>
      <c r="G257" s="5"/>
    </row>
    <row r="258" spans="5:7">
      <c r="E258" s="5"/>
      <c r="F258" s="5"/>
      <c r="G258" s="5"/>
    </row>
    <row r="259" spans="5:7">
      <c r="E259" s="5"/>
      <c r="F259" s="5"/>
      <c r="G259" s="5"/>
    </row>
    <row r="260" spans="5:7">
      <c r="E260" s="5"/>
      <c r="F260" s="5"/>
      <c r="G260" s="5"/>
    </row>
    <row r="261" spans="5:7">
      <c r="E261" s="5"/>
      <c r="F261" s="5"/>
      <c r="G261" s="5"/>
    </row>
    <row r="262" spans="5:7">
      <c r="E262" s="5"/>
      <c r="F262" s="5"/>
      <c r="G262" s="5"/>
    </row>
    <row r="263" spans="5:7">
      <c r="E263" s="5"/>
      <c r="F263" s="5"/>
      <c r="G263" s="5"/>
    </row>
    <row r="264" spans="5:7">
      <c r="E264" s="5"/>
      <c r="F264" s="5"/>
      <c r="G264" s="5"/>
    </row>
    <row r="265" spans="5:7">
      <c r="E265" s="5"/>
      <c r="F265" s="5"/>
      <c r="G265" s="5"/>
    </row>
    <row r="266" spans="5:7">
      <c r="E266" s="5"/>
      <c r="F266" s="5"/>
      <c r="G266" s="5"/>
    </row>
    <row r="267" spans="5:7">
      <c r="E267" s="5"/>
      <c r="F267" s="5"/>
      <c r="G267" s="5"/>
    </row>
    <row r="268" spans="5:7">
      <c r="E268" s="5"/>
      <c r="F268" s="5"/>
      <c r="G268" s="5"/>
    </row>
    <row r="269" spans="5:7">
      <c r="E269" s="5"/>
      <c r="F269" s="5"/>
      <c r="G269" s="5"/>
    </row>
    <row r="270" spans="5:7">
      <c r="E270" s="5"/>
      <c r="F270" s="5"/>
      <c r="G270" s="5"/>
    </row>
    <row r="271" spans="5:7">
      <c r="E271" s="5"/>
      <c r="F271" s="5"/>
      <c r="G271" s="5"/>
    </row>
    <row r="272" spans="5:7">
      <c r="E272" s="5"/>
      <c r="F272" s="5"/>
      <c r="G272" s="5"/>
    </row>
    <row r="273" spans="5:7">
      <c r="E273" s="5"/>
      <c r="F273" s="5"/>
      <c r="G273" s="5"/>
    </row>
    <row r="274" spans="5:7">
      <c r="E274" s="5"/>
      <c r="F274" s="5"/>
      <c r="G274" s="5"/>
    </row>
    <row r="275" spans="5:7">
      <c r="E275" s="5"/>
      <c r="F275" s="5"/>
      <c r="G275" s="5"/>
    </row>
    <row r="276" spans="5:7">
      <c r="E276" s="5"/>
      <c r="F276" s="5"/>
      <c r="G276" s="5"/>
    </row>
    <row r="277" spans="5:7">
      <c r="E277" s="5"/>
      <c r="F277" s="5"/>
      <c r="G277" s="5"/>
    </row>
    <row r="278" spans="5:7">
      <c r="E278" s="5"/>
      <c r="F278" s="5"/>
      <c r="G278" s="5"/>
    </row>
    <row r="279" spans="5:7">
      <c r="E279" s="5"/>
      <c r="F279" s="5"/>
      <c r="G279" s="5"/>
    </row>
    <row r="280" spans="5:7">
      <c r="E280" s="5"/>
      <c r="F280" s="5"/>
      <c r="G280" s="5"/>
    </row>
    <row r="281" spans="5:7">
      <c r="E281" s="5"/>
      <c r="F281" s="5"/>
      <c r="G281" s="5"/>
    </row>
    <row r="282" spans="5:7">
      <c r="E282" s="5"/>
      <c r="F282" s="5"/>
      <c r="G282" s="5"/>
    </row>
    <row r="283" spans="5:7">
      <c r="E283" s="5"/>
      <c r="F283" s="5"/>
      <c r="G283" s="5"/>
    </row>
    <row r="284" spans="5:7">
      <c r="E284" s="5"/>
      <c r="F284" s="5"/>
      <c r="G284" s="5"/>
    </row>
    <row r="285" spans="5:7">
      <c r="E285" s="5"/>
      <c r="F285" s="5"/>
      <c r="G285" s="5"/>
    </row>
    <row r="286" spans="5:7">
      <c r="E286" s="5"/>
      <c r="F286" s="5"/>
      <c r="G286" s="5"/>
    </row>
    <row r="287" spans="5:7">
      <c r="E287" s="5"/>
      <c r="F287" s="5"/>
      <c r="G287" s="5"/>
    </row>
    <row r="288" spans="5:7">
      <c r="E288" s="5"/>
      <c r="F288" s="5"/>
      <c r="G288" s="5"/>
    </row>
    <row r="289" spans="5:7">
      <c r="E289" s="5"/>
      <c r="F289" s="5"/>
      <c r="G289" s="5"/>
    </row>
    <row r="290" spans="5:7">
      <c r="E290" s="5"/>
      <c r="F290" s="5"/>
      <c r="G290" s="5"/>
    </row>
    <row r="291" spans="5:7">
      <c r="E291" s="5"/>
      <c r="F291" s="5"/>
      <c r="G291" s="5"/>
    </row>
    <row r="292" spans="5:7">
      <c r="E292" s="5"/>
      <c r="F292" s="5"/>
      <c r="G292" s="5"/>
    </row>
    <row r="293" spans="5:7">
      <c r="E293" s="5"/>
      <c r="F293" s="5"/>
      <c r="G293" s="5"/>
    </row>
    <row r="294" spans="5:7">
      <c r="E294" s="5"/>
      <c r="F294" s="5"/>
      <c r="G294" s="5"/>
    </row>
    <row r="295" spans="5:7">
      <c r="E295" s="5"/>
      <c r="F295" s="5"/>
      <c r="G295" s="5"/>
    </row>
    <row r="296" spans="5:7">
      <c r="E296" s="5"/>
      <c r="F296" s="5"/>
      <c r="G296" s="5"/>
    </row>
    <row r="297" spans="5:7">
      <c r="E297" s="5"/>
      <c r="F297" s="5"/>
      <c r="G297" s="5"/>
    </row>
    <row r="298" spans="5:7">
      <c r="E298" s="5"/>
      <c r="F298" s="5"/>
      <c r="G298" s="5"/>
    </row>
    <row r="299" spans="5:7">
      <c r="E299" s="5"/>
      <c r="F299" s="5"/>
      <c r="G299" s="5"/>
    </row>
    <row r="300" spans="5:7">
      <c r="E300" s="5"/>
      <c r="F300" s="5"/>
      <c r="G300" s="5"/>
    </row>
    <row r="301" spans="5:7">
      <c r="E301" s="5"/>
      <c r="F301" s="5"/>
      <c r="G301" s="5"/>
    </row>
    <row r="302" spans="5:7">
      <c r="E302" s="5"/>
      <c r="F302" s="5"/>
      <c r="G302" s="5"/>
    </row>
    <row r="303" spans="5:7">
      <c r="E303" s="5"/>
      <c r="F303" s="5"/>
      <c r="G303" s="5"/>
    </row>
    <row r="304" spans="5:7">
      <c r="E304" s="5"/>
      <c r="F304" s="5"/>
      <c r="G304" s="5"/>
    </row>
    <row r="305" spans="5:7">
      <c r="E305" s="5"/>
      <c r="F305" s="5"/>
      <c r="G305" s="5"/>
    </row>
    <row r="306" spans="5:7">
      <c r="E306" s="5"/>
      <c r="F306" s="5"/>
      <c r="G306" s="5"/>
    </row>
    <row r="307" spans="5:7">
      <c r="E307" s="5"/>
      <c r="F307" s="5"/>
      <c r="G307" s="5"/>
    </row>
    <row r="308" spans="5:7">
      <c r="E308" s="5"/>
      <c r="F308" s="5"/>
      <c r="G308" s="5"/>
    </row>
    <row r="309" spans="5:7">
      <c r="E309" s="5"/>
      <c r="F309" s="5"/>
      <c r="G309" s="5"/>
    </row>
    <row r="310" spans="5:7">
      <c r="E310" s="5"/>
      <c r="F310" s="5"/>
      <c r="G310" s="5"/>
    </row>
    <row r="311" spans="5:7">
      <c r="E311" s="5"/>
      <c r="F311" s="5"/>
      <c r="G311" s="5"/>
    </row>
    <row r="312" spans="5:7">
      <c r="E312" s="5"/>
      <c r="F312" s="5"/>
      <c r="G312" s="5"/>
    </row>
    <row r="313" spans="5:7">
      <c r="E313" s="5"/>
      <c r="F313" s="5"/>
      <c r="G313" s="5"/>
    </row>
    <row r="314" spans="5:7">
      <c r="E314" s="5"/>
      <c r="F314" s="5"/>
      <c r="G314" s="5"/>
    </row>
    <row r="315" spans="5:7">
      <c r="E315" s="5"/>
      <c r="F315" s="5"/>
      <c r="G315" s="5"/>
    </row>
    <row r="316" spans="5:7">
      <c r="E316" s="5"/>
      <c r="F316" s="5"/>
      <c r="G316" s="5"/>
    </row>
    <row r="317" spans="5:7">
      <c r="E317" s="5"/>
      <c r="F317" s="5"/>
      <c r="G317" s="5"/>
    </row>
    <row r="318" spans="5:7">
      <c r="E318" s="5"/>
      <c r="F318" s="5"/>
      <c r="G318" s="5"/>
    </row>
    <row r="319" spans="5:7">
      <c r="E319" s="5"/>
      <c r="F319" s="5"/>
      <c r="G319" s="5"/>
    </row>
    <row r="320" spans="5:7">
      <c r="E320" s="5"/>
      <c r="F320" s="5"/>
      <c r="G320" s="5"/>
    </row>
    <row r="321" spans="5:7">
      <c r="E321" s="5"/>
      <c r="F321" s="5"/>
      <c r="G321" s="5"/>
    </row>
    <row r="322" spans="5:7">
      <c r="E322" s="5"/>
      <c r="F322" s="5"/>
      <c r="G322" s="5"/>
    </row>
    <row r="323" spans="5:7">
      <c r="E323" s="5"/>
      <c r="F323" s="5"/>
      <c r="G323" s="5"/>
    </row>
    <row r="324" spans="5:7">
      <c r="E324" s="5"/>
      <c r="F324" s="5"/>
      <c r="G324" s="5"/>
    </row>
    <row r="325" spans="5:7">
      <c r="E325" s="5"/>
      <c r="F325" s="5"/>
      <c r="G325" s="5"/>
    </row>
    <row r="326" spans="5:7">
      <c r="E326" s="5"/>
      <c r="F326" s="5"/>
      <c r="G326" s="5"/>
    </row>
    <row r="327" spans="5:7">
      <c r="E327" s="5"/>
      <c r="F327" s="5"/>
      <c r="G327" s="5"/>
    </row>
    <row r="328" spans="5:7">
      <c r="E328" s="5"/>
      <c r="F328" s="5"/>
      <c r="G328" s="5"/>
    </row>
    <row r="329" spans="5:7">
      <c r="E329" s="5"/>
      <c r="F329" s="5"/>
      <c r="G329" s="5"/>
    </row>
    <row r="330" spans="5:7">
      <c r="E330" s="5"/>
      <c r="F330" s="5"/>
      <c r="G330" s="5"/>
    </row>
    <row r="331" spans="5:7">
      <c r="E331" s="5"/>
      <c r="F331" s="5"/>
      <c r="G331" s="5"/>
    </row>
    <row r="332" spans="5:7">
      <c r="E332" s="5"/>
      <c r="F332" s="5"/>
      <c r="G332" s="5"/>
    </row>
    <row r="333" spans="5:7">
      <c r="E333" s="5"/>
      <c r="F333" s="5"/>
      <c r="G333" s="5"/>
    </row>
    <row r="334" spans="5:7">
      <c r="E334" s="5"/>
      <c r="F334" s="5"/>
      <c r="G334" s="5"/>
    </row>
    <row r="335" spans="5:7">
      <c r="E335" s="5"/>
      <c r="F335" s="5"/>
      <c r="G335" s="5"/>
    </row>
    <row r="336" spans="5:7">
      <c r="E336" s="5"/>
      <c r="F336" s="5"/>
      <c r="G336" s="5"/>
    </row>
    <row r="337" spans="5:7">
      <c r="E337" s="5"/>
      <c r="F337" s="5"/>
      <c r="G337" s="5"/>
    </row>
    <row r="338" spans="5:7">
      <c r="E338" s="5"/>
      <c r="F338" s="5"/>
      <c r="G338" s="5"/>
    </row>
    <row r="339" spans="5:7">
      <c r="E339" s="5"/>
      <c r="F339" s="5"/>
      <c r="G339" s="5"/>
    </row>
    <row r="340" spans="5:7">
      <c r="E340" s="5"/>
      <c r="F340" s="5"/>
      <c r="G340" s="5"/>
    </row>
    <row r="341" spans="5:7">
      <c r="E341" s="5"/>
      <c r="F341" s="5"/>
      <c r="G341" s="5"/>
    </row>
    <row r="342" spans="5:7">
      <c r="E342" s="5"/>
      <c r="F342" s="5"/>
      <c r="G342" s="5"/>
    </row>
    <row r="343" spans="5:7">
      <c r="E343" s="5"/>
      <c r="F343" s="5"/>
      <c r="G343" s="5"/>
    </row>
    <row r="344" spans="5:7">
      <c r="E344" s="5"/>
      <c r="F344" s="5"/>
      <c r="G344" s="5"/>
    </row>
    <row r="345" spans="5:7">
      <c r="E345" s="5"/>
      <c r="F345" s="5"/>
      <c r="G345" s="5"/>
    </row>
    <row r="346" spans="5:7">
      <c r="E346" s="5"/>
      <c r="F346" s="5"/>
      <c r="G346" s="5"/>
    </row>
    <row r="347" spans="5:7">
      <c r="E347" s="5"/>
      <c r="F347" s="5"/>
      <c r="G347" s="5"/>
    </row>
    <row r="348" spans="5:7">
      <c r="E348" s="5"/>
      <c r="F348" s="5"/>
      <c r="G348" s="5"/>
    </row>
    <row r="349" spans="5:7">
      <c r="E349" s="5"/>
      <c r="F349" s="5"/>
      <c r="G349" s="5"/>
    </row>
    <row r="350" spans="5:7">
      <c r="E350" s="5"/>
      <c r="F350" s="5"/>
      <c r="G350" s="5"/>
    </row>
    <row r="351" spans="5:7">
      <c r="E351" s="5"/>
      <c r="F351" s="5"/>
      <c r="G351" s="5"/>
    </row>
    <row r="352" spans="5:7">
      <c r="E352" s="5"/>
      <c r="F352" s="5"/>
      <c r="G352" s="5"/>
    </row>
    <row r="353" spans="5:7">
      <c r="E353" s="5"/>
      <c r="F353" s="5"/>
      <c r="G353" s="5"/>
    </row>
    <row r="354" spans="5:7">
      <c r="E354" s="5"/>
      <c r="F354" s="5"/>
      <c r="G354" s="5"/>
    </row>
    <row r="355" spans="5:7">
      <c r="E355" s="5"/>
      <c r="F355" s="5"/>
      <c r="G355" s="5"/>
    </row>
    <row r="356" spans="5:7">
      <c r="E356" s="5"/>
      <c r="F356" s="5"/>
      <c r="G356" s="5"/>
    </row>
    <row r="357" spans="5:7">
      <c r="E357" s="5"/>
      <c r="F357" s="5"/>
      <c r="G357" s="5"/>
    </row>
    <row r="358" spans="5:7">
      <c r="E358" s="5"/>
      <c r="F358" s="5"/>
      <c r="G358" s="5"/>
    </row>
    <row r="359" spans="5:7">
      <c r="E359" s="5"/>
      <c r="F359" s="5"/>
      <c r="G359" s="5"/>
    </row>
    <row r="360" spans="5:7">
      <c r="E360" s="5"/>
      <c r="F360" s="5"/>
      <c r="G360" s="5"/>
    </row>
    <row r="361" spans="5:7">
      <c r="E361" s="5"/>
      <c r="F361" s="5"/>
      <c r="G361" s="5"/>
    </row>
    <row r="362" spans="5:7">
      <c r="E362" s="5"/>
      <c r="F362" s="5"/>
      <c r="G362" s="5"/>
    </row>
    <row r="363" spans="5:7">
      <c r="E363" s="5"/>
      <c r="F363" s="5"/>
      <c r="G363" s="5"/>
    </row>
    <row r="364" spans="5:7">
      <c r="E364" s="5"/>
      <c r="F364" s="5"/>
      <c r="G364" s="5"/>
    </row>
    <row r="365" spans="5:7">
      <c r="E365" s="5"/>
      <c r="F365" s="5"/>
      <c r="G365" s="5"/>
    </row>
    <row r="366" spans="5:7">
      <c r="E366" s="5"/>
      <c r="F366" s="5"/>
      <c r="G366" s="5"/>
    </row>
    <row r="367" spans="5:7">
      <c r="E367" s="5"/>
      <c r="F367" s="5"/>
      <c r="G367" s="5"/>
    </row>
    <row r="368" spans="5:7">
      <c r="E368" s="5"/>
      <c r="F368" s="5"/>
      <c r="G368" s="5"/>
    </row>
    <row r="369" spans="5:7">
      <c r="E369" s="5"/>
      <c r="F369" s="5"/>
      <c r="G369" s="5"/>
    </row>
    <row r="370" spans="5:7">
      <c r="E370" s="5"/>
      <c r="F370" s="5"/>
      <c r="G370" s="5"/>
    </row>
    <row r="371" spans="5:7">
      <c r="E371" s="5"/>
      <c r="F371" s="5"/>
      <c r="G371" s="5"/>
    </row>
    <row r="372" spans="5:7">
      <c r="E372" s="5"/>
      <c r="F372" s="5"/>
      <c r="G372" s="5"/>
    </row>
    <row r="373" spans="5:7">
      <c r="E373" s="5"/>
      <c r="F373" s="5"/>
      <c r="G373" s="5"/>
    </row>
    <row r="374" spans="5:7">
      <c r="E374" s="5"/>
      <c r="F374" s="5"/>
      <c r="G374" s="5"/>
    </row>
    <row r="375" spans="5:7">
      <c r="E375" s="5"/>
      <c r="F375" s="5"/>
      <c r="G375" s="5"/>
    </row>
    <row r="376" spans="5:7">
      <c r="E376" s="5"/>
      <c r="F376" s="5"/>
      <c r="G376" s="5"/>
    </row>
    <row r="377" spans="5:7">
      <c r="E377" s="5"/>
      <c r="F377" s="5"/>
      <c r="G377" s="5"/>
    </row>
    <row r="378" spans="5:7">
      <c r="E378" s="5"/>
      <c r="F378" s="5"/>
      <c r="G378" s="5"/>
    </row>
    <row r="379" spans="5:7">
      <c r="E379" s="5"/>
      <c r="F379" s="5"/>
      <c r="G379" s="5"/>
    </row>
    <row r="380" spans="5:7">
      <c r="E380" s="5"/>
      <c r="F380" s="5"/>
      <c r="G380" s="5"/>
    </row>
    <row r="381" spans="5:7">
      <c r="E381" s="5"/>
      <c r="F381" s="5"/>
      <c r="G381" s="5"/>
    </row>
    <row r="382" spans="5:7">
      <c r="E382" s="5"/>
      <c r="F382" s="5"/>
      <c r="G382" s="5"/>
    </row>
    <row r="383" spans="5:7">
      <c r="E383" s="5"/>
      <c r="F383" s="5"/>
      <c r="G383" s="5"/>
    </row>
    <row r="384" spans="5:7">
      <c r="E384" s="5"/>
      <c r="F384" s="5"/>
      <c r="G384" s="5"/>
    </row>
    <row r="385" spans="5:7">
      <c r="E385" s="5"/>
      <c r="F385" s="5"/>
      <c r="G385" s="5"/>
    </row>
    <row r="386" spans="5:7">
      <c r="E386" s="5"/>
      <c r="F386" s="5"/>
      <c r="G386" s="5"/>
    </row>
    <row r="387" spans="5:7">
      <c r="E387" s="5"/>
      <c r="F387" s="5"/>
      <c r="G387" s="5"/>
    </row>
    <row r="388" spans="5:7">
      <c r="E388" s="5"/>
      <c r="F388" s="5"/>
      <c r="G388" s="5"/>
    </row>
    <row r="389" spans="5:7">
      <c r="E389" s="5"/>
      <c r="F389" s="5"/>
      <c r="G389" s="5"/>
    </row>
    <row r="390" spans="5:7">
      <c r="E390" s="5"/>
      <c r="F390" s="5"/>
      <c r="G390" s="5"/>
    </row>
    <row r="391" spans="5:7">
      <c r="E391" s="5"/>
      <c r="F391" s="5"/>
      <c r="G391" s="5"/>
    </row>
    <row r="392" spans="5:7">
      <c r="E392" s="5"/>
      <c r="F392" s="5"/>
      <c r="G392" s="5"/>
    </row>
    <row r="393" spans="5:7">
      <c r="E393" s="5"/>
      <c r="F393" s="5"/>
      <c r="G393" s="5"/>
    </row>
    <row r="394" spans="5:7">
      <c r="E394" s="5"/>
      <c r="F394" s="5"/>
      <c r="G394" s="5"/>
    </row>
    <row r="395" spans="5:7">
      <c r="E395" s="5"/>
      <c r="F395" s="5"/>
      <c r="G395" s="5"/>
    </row>
    <row r="396" spans="5:7">
      <c r="E396" s="5"/>
      <c r="F396" s="5"/>
      <c r="G396" s="5"/>
    </row>
    <row r="397" spans="5:7">
      <c r="E397" s="5"/>
      <c r="F397" s="5"/>
      <c r="G397" s="5"/>
    </row>
    <row r="398" spans="5:7">
      <c r="E398" s="5"/>
      <c r="F398" s="5"/>
      <c r="G398" s="5"/>
    </row>
    <row r="399" spans="5:7">
      <c r="E399" s="5"/>
      <c r="F399" s="5"/>
      <c r="G399" s="5"/>
    </row>
    <row r="400" spans="5:7">
      <c r="E400" s="5"/>
      <c r="F400" s="5"/>
      <c r="G400" s="5"/>
    </row>
    <row r="401" spans="5:7">
      <c r="E401" s="5"/>
      <c r="F401" s="5"/>
      <c r="G401" s="5"/>
    </row>
    <row r="402" spans="5:7">
      <c r="E402" s="5"/>
      <c r="F402" s="5"/>
      <c r="G402" s="5"/>
    </row>
    <row r="403" spans="5:7">
      <c r="E403" s="5"/>
      <c r="F403" s="5"/>
      <c r="G403" s="5"/>
    </row>
    <row r="404" spans="5:7">
      <c r="E404" s="5"/>
      <c r="F404" s="5"/>
      <c r="G404" s="5"/>
    </row>
    <row r="405" spans="5:7">
      <c r="E405" s="5"/>
      <c r="F405" s="5"/>
      <c r="G405" s="5"/>
    </row>
    <row r="406" spans="5:7">
      <c r="E406" s="5"/>
      <c r="F406" s="5"/>
      <c r="G406" s="5"/>
    </row>
    <row r="407" spans="5:7">
      <c r="E407" s="5"/>
      <c r="F407" s="5"/>
      <c r="G407" s="5"/>
    </row>
    <row r="408" spans="5:7">
      <c r="E408" s="5"/>
      <c r="F408" s="5"/>
      <c r="G408" s="5"/>
    </row>
    <row r="409" spans="5:7">
      <c r="E409" s="5"/>
      <c r="F409" s="5"/>
      <c r="G409" s="5"/>
    </row>
    <row r="410" spans="5:7">
      <c r="E410" s="5"/>
      <c r="F410" s="5"/>
      <c r="G410" s="5"/>
    </row>
    <row r="411" spans="5:7">
      <c r="E411" s="5"/>
      <c r="F411" s="5"/>
      <c r="G411" s="5"/>
    </row>
    <row r="412" spans="5:7">
      <c r="E412" s="5"/>
      <c r="F412" s="5"/>
      <c r="G412" s="5"/>
    </row>
    <row r="413" spans="5:7">
      <c r="E413" s="5"/>
      <c r="F413" s="5"/>
      <c r="G413" s="5"/>
    </row>
    <row r="414" spans="5:7">
      <c r="E414" s="5"/>
      <c r="F414" s="5"/>
      <c r="G414" s="5"/>
    </row>
    <row r="415" spans="5:7">
      <c r="E415" s="5"/>
      <c r="F415" s="5"/>
      <c r="G415" s="5"/>
    </row>
    <row r="416" spans="5:7">
      <c r="E416" s="5"/>
      <c r="F416" s="5"/>
      <c r="G416" s="5"/>
    </row>
    <row r="417" spans="5:7">
      <c r="E417" s="5"/>
      <c r="F417" s="5"/>
      <c r="G417" s="5"/>
    </row>
    <row r="418" spans="5:7">
      <c r="E418" s="5"/>
      <c r="F418" s="5"/>
      <c r="G418" s="5"/>
    </row>
    <row r="419" spans="5:7">
      <c r="E419" s="5"/>
      <c r="F419" s="5"/>
      <c r="G419" s="5"/>
    </row>
    <row r="420" spans="5:7">
      <c r="E420" s="5"/>
      <c r="F420" s="5"/>
      <c r="G420" s="5"/>
    </row>
    <row r="421" spans="5:7">
      <c r="E421" s="5"/>
      <c r="F421" s="5"/>
      <c r="G421" s="5"/>
    </row>
    <row r="422" spans="5:7">
      <c r="E422" s="5"/>
      <c r="F422" s="5"/>
      <c r="G422" s="5"/>
    </row>
    <row r="423" spans="5:7">
      <c r="E423" s="5"/>
      <c r="F423" s="5"/>
      <c r="G423" s="5"/>
    </row>
    <row r="424" spans="5:7">
      <c r="E424" s="5"/>
      <c r="F424" s="5"/>
      <c r="G424" s="5"/>
    </row>
    <row r="425" spans="5:7">
      <c r="E425" s="5"/>
      <c r="F425" s="5"/>
      <c r="G425" s="5"/>
    </row>
    <row r="426" spans="5:7">
      <c r="E426" s="5"/>
      <c r="F426" s="5"/>
      <c r="G426" s="5"/>
    </row>
    <row r="427" spans="5:7">
      <c r="E427" s="5"/>
      <c r="F427" s="5"/>
      <c r="G427" s="5"/>
    </row>
    <row r="428" spans="5:7">
      <c r="E428" s="5"/>
      <c r="F428" s="5"/>
      <c r="G428" s="5"/>
    </row>
    <row r="429" spans="5:7">
      <c r="E429" s="5"/>
      <c r="F429" s="5"/>
      <c r="G429" s="5"/>
    </row>
    <row r="430" spans="5:7">
      <c r="E430" s="5"/>
      <c r="F430" s="5"/>
      <c r="G430" s="5"/>
    </row>
    <row r="431" spans="5:7">
      <c r="E431" s="5"/>
      <c r="F431" s="5"/>
      <c r="G431" s="5"/>
    </row>
    <row r="432" spans="5:7">
      <c r="E432" s="5"/>
      <c r="F432" s="5"/>
      <c r="G432" s="5"/>
    </row>
    <row r="433" spans="5:7">
      <c r="E433" s="5"/>
      <c r="F433" s="5"/>
      <c r="G433" s="5"/>
    </row>
    <row r="434" spans="5:7">
      <c r="E434" s="5"/>
      <c r="F434" s="5"/>
      <c r="G434" s="5"/>
    </row>
    <row r="435" spans="5:7">
      <c r="E435" s="5"/>
      <c r="F435" s="5"/>
      <c r="G435" s="5"/>
    </row>
    <row r="436" spans="5:7">
      <c r="E436" s="5"/>
      <c r="F436" s="5"/>
      <c r="G436" s="5"/>
    </row>
  </sheetData>
  <mergeCells count="5">
    <mergeCell ref="A6:D6"/>
    <mergeCell ref="A2:D2"/>
    <mergeCell ref="A3:G3"/>
    <mergeCell ref="A4:G4"/>
    <mergeCell ref="A5:G5"/>
  </mergeCells>
  <phoneticPr fontId="5" type="noConversion"/>
  <pageMargins left="0.75" right="0.75" top="1" bottom="1" header="0.5" footer="0.5"/>
  <pageSetup scale="9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indexed="17"/>
    <pageSetUpPr fitToPage="1"/>
  </sheetPr>
  <dimension ref="A1:L334"/>
  <sheetViews>
    <sheetView zoomScale="80" zoomScaleNormal="80" workbookViewId="0">
      <selection activeCell="F28" sqref="F28"/>
    </sheetView>
  </sheetViews>
  <sheetFormatPr defaultRowHeight="12.75"/>
  <cols>
    <col min="1" max="1" width="4.5703125" style="188" bestFit="1" customWidth="1"/>
    <col min="2" max="2" width="52" style="188" customWidth="1"/>
    <col min="3" max="3" width="21" style="897" bestFit="1" customWidth="1"/>
    <col min="4" max="4" width="18" style="188" bestFit="1" customWidth="1"/>
    <col min="5" max="6" width="13.140625" style="188" bestFit="1" customWidth="1"/>
    <col min="7" max="7" width="21" style="188" bestFit="1" customWidth="1"/>
    <col min="8" max="8" width="18.42578125" style="188" customWidth="1"/>
    <col min="9" max="9" width="16.85546875" style="188" bestFit="1" customWidth="1"/>
    <col min="10" max="10" width="12.42578125" style="188" bestFit="1" customWidth="1"/>
    <col min="11" max="11" width="18.28515625" style="188" bestFit="1" customWidth="1"/>
    <col min="12" max="12" width="9.140625" style="7"/>
    <col min="13" max="16384" width="9.140625" style="188"/>
  </cols>
  <sheetData>
    <row r="1" spans="1:12">
      <c r="J1" s="188" t="str">
        <f>'Sched C-5'!G1</f>
        <v>Docket No. RP16-299-000</v>
      </c>
    </row>
    <row r="2" spans="1:12">
      <c r="J2" s="188" t="s">
        <v>242</v>
      </c>
    </row>
    <row r="4" spans="1:12">
      <c r="A4" s="932" t="str">
        <f>'Sched C-5'!A3:G3</f>
        <v>Tuscarora Gas Transmission Company</v>
      </c>
      <c r="B4" s="932"/>
      <c r="C4" s="932"/>
      <c r="D4" s="932"/>
      <c r="E4" s="932"/>
      <c r="F4" s="932"/>
      <c r="G4" s="932"/>
      <c r="H4" s="932"/>
      <c r="I4" s="932"/>
      <c r="J4" s="932"/>
      <c r="K4" s="932"/>
    </row>
    <row r="5" spans="1:12">
      <c r="A5" s="932" t="s">
        <v>636</v>
      </c>
      <c r="B5" s="932"/>
      <c r="C5" s="932"/>
      <c r="D5" s="932"/>
      <c r="E5" s="932"/>
      <c r="F5" s="932"/>
      <c r="G5" s="932"/>
      <c r="H5" s="932"/>
      <c r="I5" s="932"/>
      <c r="J5" s="932"/>
      <c r="K5" s="932"/>
    </row>
    <row r="6" spans="1:12">
      <c r="A6" s="933" t="str">
        <f>'Title Input and Macros'!B9</f>
        <v>For the Twelve Months Ended December 31, 2015, As Adjusted</v>
      </c>
      <c r="B6" s="932"/>
      <c r="C6" s="932"/>
      <c r="D6" s="932"/>
      <c r="E6" s="932"/>
      <c r="F6" s="932"/>
      <c r="G6" s="932"/>
      <c r="H6" s="932"/>
      <c r="I6" s="932"/>
      <c r="J6" s="932"/>
      <c r="K6" s="932"/>
    </row>
    <row r="7" spans="1:12">
      <c r="A7" s="896"/>
      <c r="B7" s="896"/>
      <c r="C7" s="896"/>
      <c r="D7" s="896"/>
      <c r="E7" s="896"/>
      <c r="F7" s="896"/>
      <c r="G7" s="896"/>
      <c r="H7" s="896"/>
      <c r="I7" s="896"/>
      <c r="J7" s="896"/>
      <c r="K7" s="896"/>
    </row>
    <row r="9" spans="1:12">
      <c r="A9" s="104"/>
      <c r="B9" s="104"/>
      <c r="C9" s="163"/>
      <c r="D9" s="104"/>
      <c r="E9" s="104"/>
      <c r="F9" s="104"/>
      <c r="G9" s="104"/>
      <c r="I9" s="104"/>
      <c r="J9" s="104"/>
      <c r="K9" s="896" t="s">
        <v>402</v>
      </c>
    </row>
    <row r="10" spans="1:12">
      <c r="A10" s="104" t="s">
        <v>352</v>
      </c>
      <c r="B10" s="104"/>
      <c r="C10" s="170" t="s">
        <v>243</v>
      </c>
      <c r="D10" s="94"/>
      <c r="E10" s="104"/>
      <c r="F10" s="94" t="s">
        <v>402</v>
      </c>
      <c r="G10" s="94" t="s">
        <v>243</v>
      </c>
      <c r="H10" s="94" t="s">
        <v>401</v>
      </c>
      <c r="I10" s="94" t="s">
        <v>401</v>
      </c>
      <c r="J10" s="94" t="s">
        <v>401</v>
      </c>
      <c r="K10" s="94" t="s">
        <v>400</v>
      </c>
    </row>
    <row r="11" spans="1:12">
      <c r="A11" s="88" t="s">
        <v>353</v>
      </c>
      <c r="B11" s="89" t="s">
        <v>354</v>
      </c>
      <c r="C11" s="91">
        <f>'Title Input and Macros'!B13</f>
        <v>42004</v>
      </c>
      <c r="D11" s="115" t="s">
        <v>397</v>
      </c>
      <c r="E11" s="89" t="s">
        <v>398</v>
      </c>
      <c r="F11" s="89" t="s">
        <v>399</v>
      </c>
      <c r="G11" s="91">
        <f>'Title Input and Macros'!B12</f>
        <v>42369</v>
      </c>
      <c r="H11" s="89" t="s">
        <v>397</v>
      </c>
      <c r="I11" s="89" t="s">
        <v>398</v>
      </c>
      <c r="J11" s="89" t="s">
        <v>399</v>
      </c>
      <c r="K11" s="91">
        <v>42551</v>
      </c>
    </row>
    <row r="12" spans="1:12">
      <c r="A12" s="104"/>
      <c r="B12" s="94" t="s">
        <v>361</v>
      </c>
      <c r="C12" s="170" t="s">
        <v>362</v>
      </c>
      <c r="D12" s="94" t="s">
        <v>366</v>
      </c>
      <c r="E12" s="94" t="s">
        <v>363</v>
      </c>
      <c r="F12" s="94" t="s">
        <v>364</v>
      </c>
      <c r="G12" s="94" t="s">
        <v>379</v>
      </c>
      <c r="H12" s="94" t="s">
        <v>380</v>
      </c>
      <c r="I12" s="94" t="s">
        <v>403</v>
      </c>
      <c r="J12" s="94" t="s">
        <v>404</v>
      </c>
      <c r="K12" s="94" t="s">
        <v>351</v>
      </c>
    </row>
    <row r="13" spans="1:12">
      <c r="A13" s="104"/>
      <c r="B13" s="104"/>
      <c r="C13" s="170"/>
      <c r="D13" s="94" t="s">
        <v>365</v>
      </c>
      <c r="E13" s="94" t="s">
        <v>365</v>
      </c>
      <c r="F13" s="94" t="s">
        <v>365</v>
      </c>
      <c r="G13" s="94" t="s">
        <v>365</v>
      </c>
      <c r="H13" s="94"/>
      <c r="I13" s="94" t="s">
        <v>365</v>
      </c>
      <c r="J13" s="94" t="s">
        <v>365</v>
      </c>
    </row>
    <row r="14" spans="1:12">
      <c r="A14" s="104" t="s">
        <v>579</v>
      </c>
      <c r="B14" s="113" t="s">
        <v>435</v>
      </c>
      <c r="C14" s="104"/>
      <c r="D14" s="104"/>
      <c r="E14" s="104"/>
      <c r="F14" s="104"/>
      <c r="G14" s="104"/>
      <c r="H14" s="104"/>
      <c r="I14" s="104"/>
      <c r="J14" s="161"/>
      <c r="K14" s="112"/>
      <c r="L14" s="79"/>
    </row>
    <row r="15" spans="1:12">
      <c r="A15" s="104" t="s">
        <v>579</v>
      </c>
      <c r="B15" s="113" t="s">
        <v>436</v>
      </c>
      <c r="C15" s="267"/>
      <c r="D15" s="104"/>
      <c r="E15" s="104"/>
      <c r="F15" s="104"/>
      <c r="G15" s="104"/>
      <c r="H15" s="898"/>
      <c r="I15" s="104"/>
      <c r="J15" s="161"/>
      <c r="K15" s="112"/>
      <c r="L15" s="79"/>
    </row>
    <row r="16" spans="1:12">
      <c r="A16" s="104">
        <v>1</v>
      </c>
      <c r="B16" s="104" t="s">
        <v>715</v>
      </c>
      <c r="C16" s="267">
        <f>97967483</f>
        <v>97967483</v>
      </c>
      <c r="D16" s="267">
        <f>3279188</f>
        <v>3279188</v>
      </c>
      <c r="E16" s="282">
        <f>-53590</f>
        <v>-53590</v>
      </c>
      <c r="F16" s="282">
        <v>9085</v>
      </c>
      <c r="G16" s="374">
        <f t="shared" ref="G16:G18" si="0">SUM(C16:F16)</f>
        <v>101202166</v>
      </c>
      <c r="H16" s="283">
        <v>1639870.7600088001</v>
      </c>
      <c r="I16" s="283">
        <f>'Sched C-1'!F31</f>
        <v>-17175.599999999999</v>
      </c>
      <c r="J16" s="283"/>
      <c r="K16" s="283">
        <f t="shared" ref="K16:K18" si="1">SUM(G16:J16)</f>
        <v>102824861.1600088</v>
      </c>
      <c r="L16" s="899"/>
    </row>
    <row r="17" spans="1:12">
      <c r="A17" s="104">
        <f>A16+1</f>
        <v>2</v>
      </c>
      <c r="B17" s="104" t="s">
        <v>716</v>
      </c>
      <c r="C17" s="267">
        <v>627340</v>
      </c>
      <c r="D17" s="369">
        <f>58388+9913</f>
        <v>68301</v>
      </c>
      <c r="E17" s="282">
        <f>-138223-9913</f>
        <v>-148136</v>
      </c>
      <c r="F17" s="282"/>
      <c r="G17" s="374">
        <f>SUM(C17:F17)</f>
        <v>547505</v>
      </c>
      <c r="H17" s="283">
        <v>16793.010051049998</v>
      </c>
      <c r="I17" s="283">
        <f>'Sched C-1'!F45</f>
        <v>-86921.56</v>
      </c>
      <c r="J17" s="283"/>
      <c r="K17" s="283">
        <f>SUM(G17:J17)</f>
        <v>477376.45005104999</v>
      </c>
      <c r="L17" s="899"/>
    </row>
    <row r="18" spans="1:12">
      <c r="A18" s="104">
        <f>A17+1</f>
        <v>3</v>
      </c>
      <c r="B18" s="104" t="s">
        <v>718</v>
      </c>
      <c r="C18" s="282">
        <v>1091946</v>
      </c>
      <c r="D18" s="282">
        <v>365705</v>
      </c>
      <c r="E18" s="282">
        <v>-9085</v>
      </c>
      <c r="F18" s="282"/>
      <c r="G18" s="374">
        <f t="shared" si="0"/>
        <v>1448566</v>
      </c>
      <c r="H18" s="283">
        <v>182909.35385100002</v>
      </c>
      <c r="I18" s="284"/>
      <c r="J18" s="284"/>
      <c r="K18" s="283">
        <f t="shared" si="1"/>
        <v>1631475.3538510001</v>
      </c>
      <c r="L18" s="79"/>
    </row>
    <row r="19" spans="1:12" ht="13.5" thickBot="1">
      <c r="A19" s="104">
        <f>A18+1</f>
        <v>4</v>
      </c>
      <c r="B19" s="113" t="s">
        <v>246</v>
      </c>
      <c r="C19" s="900">
        <f t="shared" ref="C19:K19" si="2">SUM(C16:C18)</f>
        <v>99686769</v>
      </c>
      <c r="D19" s="900">
        <f t="shared" si="2"/>
        <v>3713194</v>
      </c>
      <c r="E19" s="900">
        <f t="shared" si="2"/>
        <v>-210811</v>
      </c>
      <c r="F19" s="900">
        <f t="shared" si="2"/>
        <v>9085</v>
      </c>
      <c r="G19" s="900">
        <f t="shared" si="2"/>
        <v>103198237</v>
      </c>
      <c r="H19" s="901">
        <f t="shared" si="2"/>
        <v>1839573.1239108501</v>
      </c>
      <c r="I19" s="901">
        <f t="shared" si="2"/>
        <v>-104097.16</v>
      </c>
      <c r="J19" s="901">
        <f t="shared" si="2"/>
        <v>0</v>
      </c>
      <c r="K19" s="901">
        <f t="shared" si="2"/>
        <v>104933712.96391086</v>
      </c>
      <c r="L19" s="899"/>
    </row>
    <row r="20" spans="1:12" ht="13.5" thickTop="1">
      <c r="A20" s="104" t="s">
        <v>579</v>
      </c>
      <c r="B20" s="113"/>
      <c r="C20" s="374"/>
      <c r="D20" s="374"/>
      <c r="E20" s="374"/>
      <c r="F20" s="374"/>
      <c r="G20" s="608"/>
      <c r="H20" s="283"/>
      <c r="I20" s="283"/>
      <c r="J20" s="283"/>
      <c r="K20" s="161"/>
      <c r="L20" s="899"/>
    </row>
    <row r="21" spans="1:12">
      <c r="A21" s="104" t="s">
        <v>579</v>
      </c>
      <c r="B21" s="113" t="s">
        <v>247</v>
      </c>
      <c r="C21" s="374"/>
      <c r="D21" s="374"/>
      <c r="E21" s="374"/>
      <c r="F21" s="374"/>
      <c r="G21" s="608"/>
      <c r="H21" s="283"/>
      <c r="I21" s="283"/>
      <c r="J21" s="283"/>
      <c r="K21" s="161"/>
      <c r="L21" s="154"/>
    </row>
    <row r="22" spans="1:12">
      <c r="A22" s="104">
        <f>A19+1</f>
        <v>5</v>
      </c>
      <c r="B22" s="104" t="s">
        <v>437</v>
      </c>
      <c r="C22" s="267">
        <v>-6333</v>
      </c>
      <c r="D22" s="369">
        <v>9913</v>
      </c>
      <c r="E22" s="282">
        <v>-3580</v>
      </c>
      <c r="F22" s="282"/>
      <c r="G22" s="374">
        <f>SUM(C22:F22)</f>
        <v>0</v>
      </c>
      <c r="H22" s="284">
        <f>-16992*0.04</f>
        <v>-679.68000000000006</v>
      </c>
      <c r="I22" s="284"/>
      <c r="J22" s="284"/>
      <c r="K22" s="283">
        <f>SUM(G22:J22)</f>
        <v>-679.68000000000006</v>
      </c>
      <c r="L22" s="79"/>
    </row>
    <row r="23" spans="1:12">
      <c r="A23" s="104">
        <f>A22+1</f>
        <v>6</v>
      </c>
      <c r="B23" s="113" t="s">
        <v>244</v>
      </c>
      <c r="C23" s="902">
        <f t="shared" ref="C23:K23" si="3">SUM(C22:C22)</f>
        <v>-6333</v>
      </c>
      <c r="D23" s="902">
        <f t="shared" si="3"/>
        <v>9913</v>
      </c>
      <c r="E23" s="902">
        <f t="shared" si="3"/>
        <v>-3580</v>
      </c>
      <c r="F23" s="902">
        <f t="shared" si="3"/>
        <v>0</v>
      </c>
      <c r="G23" s="903">
        <f t="shared" si="3"/>
        <v>0</v>
      </c>
      <c r="H23" s="904">
        <f t="shared" si="3"/>
        <v>-679.68000000000006</v>
      </c>
      <c r="I23" s="904">
        <f t="shared" si="3"/>
        <v>0</v>
      </c>
      <c r="J23" s="904">
        <f t="shared" si="3"/>
        <v>0</v>
      </c>
      <c r="K23" s="905">
        <f t="shared" si="3"/>
        <v>-679.68000000000006</v>
      </c>
      <c r="L23" s="899"/>
    </row>
    <row r="24" spans="1:12">
      <c r="A24" s="104">
        <f>A23+1</f>
        <v>7</v>
      </c>
      <c r="B24" s="113" t="s">
        <v>245</v>
      </c>
      <c r="C24" s="374">
        <f t="shared" ref="C24:K24" si="4">+C19+C23</f>
        <v>99680436</v>
      </c>
      <c r="D24" s="374">
        <f t="shared" si="4"/>
        <v>3723107</v>
      </c>
      <c r="E24" s="374">
        <f t="shared" si="4"/>
        <v>-214391</v>
      </c>
      <c r="F24" s="374">
        <f t="shared" si="4"/>
        <v>9085</v>
      </c>
      <c r="G24" s="608">
        <f t="shared" si="4"/>
        <v>103198237</v>
      </c>
      <c r="H24" s="283">
        <f t="shared" si="4"/>
        <v>1838893.4439108502</v>
      </c>
      <c r="I24" s="283">
        <f t="shared" si="4"/>
        <v>-104097.16</v>
      </c>
      <c r="J24" s="283">
        <f t="shared" si="4"/>
        <v>0</v>
      </c>
      <c r="K24" s="161">
        <f t="shared" si="4"/>
        <v>104933033.28391086</v>
      </c>
      <c r="L24" s="899"/>
    </row>
    <row r="25" spans="1:12">
      <c r="A25" s="104" t="s">
        <v>579</v>
      </c>
      <c r="B25" s="113"/>
      <c r="C25" s="374"/>
      <c r="D25" s="374"/>
      <c r="E25" s="374"/>
      <c r="F25" s="374"/>
      <c r="G25" s="608"/>
      <c r="H25" s="283"/>
      <c r="I25" s="283"/>
      <c r="J25" s="283"/>
      <c r="K25" s="161"/>
      <c r="L25" s="899"/>
    </row>
    <row r="26" spans="1:12">
      <c r="A26" s="104" t="s">
        <v>579</v>
      </c>
      <c r="B26" s="113" t="s">
        <v>587</v>
      </c>
      <c r="C26" s="374"/>
      <c r="D26" s="374"/>
      <c r="E26" s="374"/>
      <c r="F26" s="374"/>
      <c r="G26" s="608"/>
      <c r="H26" s="283"/>
      <c r="I26" s="283"/>
      <c r="J26" s="283"/>
      <c r="K26" s="161"/>
      <c r="L26" s="162"/>
    </row>
    <row r="27" spans="1:12">
      <c r="A27" s="104">
        <f>A24+1</f>
        <v>8</v>
      </c>
      <c r="B27" s="104" t="s">
        <v>717</v>
      </c>
      <c r="C27" s="267">
        <v>351388</v>
      </c>
      <c r="D27" s="267">
        <v>8743</v>
      </c>
      <c r="E27" s="282"/>
      <c r="F27" s="374"/>
      <c r="G27" s="374">
        <f t="shared" ref="G27" si="5">SUM(C27:F27)</f>
        <v>360131</v>
      </c>
      <c r="H27" s="283">
        <v>4371.5636249999998</v>
      </c>
      <c r="I27" s="283"/>
      <c r="J27" s="283"/>
      <c r="K27" s="283">
        <f>SUM(G27:J27)</f>
        <v>364502.56362500001</v>
      </c>
      <c r="L27" s="162"/>
    </row>
    <row r="28" spans="1:12">
      <c r="A28" s="104">
        <f>A27+1</f>
        <v>9</v>
      </c>
      <c r="B28" s="113" t="s">
        <v>248</v>
      </c>
      <c r="C28" s="607">
        <f>SUM(C27)</f>
        <v>351388</v>
      </c>
      <c r="D28" s="607">
        <f t="shared" ref="D28:K28" si="6">SUM(D27)</f>
        <v>8743</v>
      </c>
      <c r="E28" s="607">
        <f t="shared" si="6"/>
        <v>0</v>
      </c>
      <c r="F28" s="607">
        <f t="shared" si="6"/>
        <v>0</v>
      </c>
      <c r="G28" s="607">
        <f>SUM(G27)</f>
        <v>360131</v>
      </c>
      <c r="H28" s="375">
        <f t="shared" si="6"/>
        <v>4371.5636249999998</v>
      </c>
      <c r="I28" s="375">
        <f t="shared" si="6"/>
        <v>0</v>
      </c>
      <c r="J28" s="375">
        <f t="shared" si="6"/>
        <v>0</v>
      </c>
      <c r="K28" s="375">
        <f t="shared" si="6"/>
        <v>364502.56362500001</v>
      </c>
      <c r="L28" s="162"/>
    </row>
    <row r="29" spans="1:12">
      <c r="A29" s="104" t="s">
        <v>579</v>
      </c>
      <c r="B29" s="104"/>
      <c r="C29" s="374" t="s">
        <v>579</v>
      </c>
      <c r="D29" s="374"/>
      <c r="E29" s="374" t="s">
        <v>579</v>
      </c>
      <c r="F29" s="374"/>
      <c r="G29" s="608" t="s">
        <v>579</v>
      </c>
      <c r="H29" s="219"/>
      <c r="I29" s="104"/>
      <c r="J29" s="178"/>
      <c r="K29" s="104"/>
      <c r="L29" s="79"/>
    </row>
    <row r="30" spans="1:12">
      <c r="A30" s="104">
        <f>+A28+1</f>
        <v>10</v>
      </c>
      <c r="B30" s="104" t="s">
        <v>438</v>
      </c>
      <c r="C30" s="608" t="s">
        <v>579</v>
      </c>
      <c r="D30" s="608"/>
      <c r="E30" s="608"/>
      <c r="F30" s="608"/>
      <c r="G30" s="608" t="s">
        <v>579</v>
      </c>
      <c r="H30" s="219"/>
      <c r="I30" s="112" t="s">
        <v>579</v>
      </c>
      <c r="J30" s="178"/>
      <c r="K30" s="104"/>
      <c r="L30" s="154"/>
    </row>
    <row r="31" spans="1:12" ht="13.5" thickBot="1">
      <c r="B31" s="104" t="s">
        <v>439</v>
      </c>
      <c r="C31" s="906">
        <f t="shared" ref="C31:K31" si="7">+C24+C28</f>
        <v>100031824</v>
      </c>
      <c r="D31" s="900">
        <f t="shared" si="7"/>
        <v>3731850</v>
      </c>
      <c r="E31" s="906">
        <f t="shared" si="7"/>
        <v>-214391</v>
      </c>
      <c r="F31" s="906">
        <f t="shared" si="7"/>
        <v>9085</v>
      </c>
      <c r="G31" s="906">
        <f t="shared" si="7"/>
        <v>103558368</v>
      </c>
      <c r="H31" s="901">
        <f t="shared" si="7"/>
        <v>1843265.0075358502</v>
      </c>
      <c r="I31" s="901">
        <f t="shared" si="7"/>
        <v>-104097.16</v>
      </c>
      <c r="J31" s="901">
        <f t="shared" si="7"/>
        <v>0</v>
      </c>
      <c r="K31" s="907">
        <f t="shared" si="7"/>
        <v>105297535.84753585</v>
      </c>
      <c r="L31" s="79"/>
    </row>
    <row r="32" spans="1:12" ht="13.5" thickTop="1">
      <c r="A32" s="104"/>
      <c r="B32" s="104"/>
      <c r="C32" s="163"/>
      <c r="D32" s="112"/>
      <c r="E32" s="112"/>
      <c r="F32" s="112"/>
      <c r="G32" s="161"/>
      <c r="H32" s="161"/>
      <c r="I32" s="104"/>
      <c r="J32" s="104"/>
      <c r="K32" s="104"/>
      <c r="L32" s="79"/>
    </row>
    <row r="33" spans="4:12">
      <c r="D33" s="443"/>
      <c r="E33" s="443"/>
      <c r="F33" s="443"/>
      <c r="H33" s="908"/>
      <c r="I33" s="79"/>
      <c r="J33" s="7"/>
      <c r="K33" s="909"/>
      <c r="L33" s="910"/>
    </row>
    <row r="34" spans="4:12">
      <c r="D34" s="443"/>
      <c r="E34" s="443"/>
      <c r="F34" s="443"/>
      <c r="H34" s="908"/>
      <c r="I34" s="79"/>
      <c r="J34" s="7"/>
      <c r="K34" s="909"/>
      <c r="L34" s="910"/>
    </row>
    <row r="35" spans="4:12">
      <c r="D35" s="443"/>
      <c r="E35" s="443"/>
      <c r="F35" s="443"/>
      <c r="H35" s="908"/>
      <c r="I35" s="7"/>
      <c r="J35" s="7"/>
      <c r="K35" s="909"/>
      <c r="L35" s="910"/>
    </row>
    <row r="36" spans="4:12">
      <c r="D36" s="443"/>
      <c r="E36" s="443"/>
      <c r="F36" s="443"/>
      <c r="H36" s="908"/>
      <c r="I36" s="7"/>
      <c r="J36" s="7"/>
      <c r="K36" s="909"/>
      <c r="L36" s="910"/>
    </row>
    <row r="37" spans="4:12">
      <c r="D37" s="443"/>
      <c r="E37" s="443"/>
      <c r="F37" s="443"/>
      <c r="H37" s="908"/>
      <c r="I37" s="7"/>
      <c r="J37" s="7"/>
      <c r="K37" s="909"/>
      <c r="L37" s="910"/>
    </row>
    <row r="38" spans="4:12">
      <c r="D38" s="443"/>
      <c r="E38" s="443"/>
      <c r="F38" s="443"/>
      <c r="H38" s="908"/>
      <c r="I38" s="7"/>
      <c r="J38" s="7"/>
      <c r="K38" s="909"/>
      <c r="L38" s="910"/>
    </row>
    <row r="39" spans="4:12">
      <c r="D39" s="443"/>
      <c r="E39" s="443"/>
      <c r="F39" s="443"/>
      <c r="H39" s="627"/>
      <c r="I39" s="7"/>
      <c r="J39" s="7"/>
      <c r="K39" s="909"/>
      <c r="L39" s="910"/>
    </row>
    <row r="40" spans="4:12">
      <c r="D40" s="443"/>
      <c r="E40" s="443"/>
      <c r="F40" s="443"/>
      <c r="H40" s="908"/>
      <c r="I40" s="79"/>
      <c r="J40" s="7"/>
      <c r="K40" s="911"/>
      <c r="L40" s="910"/>
    </row>
    <row r="41" spans="4:12">
      <c r="D41" s="443"/>
      <c r="E41" s="443"/>
      <c r="F41" s="443"/>
      <c r="H41" s="908"/>
      <c r="I41" s="79"/>
      <c r="J41" s="7"/>
      <c r="K41" s="911"/>
      <c r="L41" s="910"/>
    </row>
    <row r="42" spans="4:12">
      <c r="D42" s="443"/>
      <c r="E42" s="443"/>
      <c r="F42" s="443"/>
      <c r="H42" s="908"/>
      <c r="I42" s="7"/>
      <c r="J42" s="7"/>
      <c r="K42" s="909"/>
      <c r="L42" s="910"/>
    </row>
    <row r="43" spans="4:12">
      <c r="D43" s="443"/>
      <c r="E43" s="443"/>
      <c r="F43" s="443"/>
      <c r="H43" s="189"/>
      <c r="K43" s="896"/>
      <c r="L43" s="910"/>
    </row>
    <row r="44" spans="4:12">
      <c r="D44" s="443"/>
      <c r="E44" s="443"/>
      <c r="F44" s="443"/>
      <c r="H44" s="189"/>
      <c r="K44" s="896"/>
    </row>
    <row r="45" spans="4:12">
      <c r="D45" s="443"/>
      <c r="E45" s="443"/>
      <c r="F45" s="443"/>
      <c r="H45" s="189"/>
      <c r="K45" s="896"/>
    </row>
    <row r="46" spans="4:12">
      <c r="D46" s="443"/>
      <c r="E46" s="443"/>
      <c r="F46" s="443"/>
      <c r="H46" s="189"/>
      <c r="K46" s="896"/>
    </row>
    <row r="47" spans="4:12">
      <c r="D47" s="443"/>
      <c r="E47" s="443"/>
      <c r="F47" s="443"/>
      <c r="H47" s="189"/>
      <c r="K47" s="896"/>
    </row>
    <row r="48" spans="4:12">
      <c r="D48" s="443"/>
      <c r="E48" s="443"/>
      <c r="F48" s="443"/>
      <c r="H48" s="189"/>
      <c r="K48" s="896"/>
    </row>
    <row r="49" spans="4:11">
      <c r="D49" s="443"/>
      <c r="E49" s="443"/>
      <c r="F49" s="443"/>
      <c r="H49" s="189"/>
      <c r="K49" s="896"/>
    </row>
    <row r="50" spans="4:11">
      <c r="D50" s="443"/>
      <c r="E50" s="443"/>
      <c r="F50" s="443"/>
      <c r="H50" s="189"/>
    </row>
    <row r="51" spans="4:11">
      <c r="D51" s="443"/>
      <c r="E51" s="443"/>
      <c r="F51" s="443"/>
      <c r="H51" s="189"/>
    </row>
    <row r="52" spans="4:11">
      <c r="D52" s="443"/>
      <c r="E52" s="443"/>
      <c r="F52" s="443"/>
      <c r="H52" s="189"/>
    </row>
    <row r="53" spans="4:11">
      <c r="D53" s="443"/>
      <c r="E53" s="443"/>
      <c r="F53" s="443"/>
      <c r="H53" s="189"/>
    </row>
    <row r="54" spans="4:11">
      <c r="D54" s="443"/>
      <c r="E54" s="443"/>
      <c r="F54" s="443"/>
      <c r="H54" s="189"/>
    </row>
    <row r="55" spans="4:11">
      <c r="D55" s="443"/>
      <c r="E55" s="443"/>
      <c r="F55" s="443"/>
      <c r="H55" s="189"/>
    </row>
    <row r="56" spans="4:11">
      <c r="D56" s="443"/>
      <c r="E56" s="443"/>
      <c r="F56" s="443"/>
      <c r="H56" s="189"/>
    </row>
    <row r="57" spans="4:11">
      <c r="D57" s="443"/>
      <c r="E57" s="443"/>
      <c r="F57" s="443"/>
    </row>
    <row r="58" spans="4:11">
      <c r="D58" s="443"/>
      <c r="E58" s="443"/>
      <c r="F58" s="443"/>
    </row>
    <row r="59" spans="4:11">
      <c r="D59" s="443"/>
      <c r="E59" s="443"/>
      <c r="F59" s="443"/>
    </row>
    <row r="60" spans="4:11">
      <c r="D60" s="443"/>
      <c r="E60" s="443"/>
      <c r="F60" s="443"/>
    </row>
    <row r="61" spans="4:11">
      <c r="D61" s="443"/>
      <c r="E61" s="443"/>
      <c r="F61" s="443"/>
    </row>
    <row r="62" spans="4:11">
      <c r="D62" s="443"/>
      <c r="E62" s="443"/>
      <c r="F62" s="443"/>
    </row>
    <row r="63" spans="4:11">
      <c r="D63" s="443"/>
      <c r="E63" s="443"/>
      <c r="F63" s="443"/>
    </row>
    <row r="64" spans="4:11">
      <c r="D64" s="443"/>
      <c r="E64" s="443"/>
      <c r="F64" s="443"/>
    </row>
    <row r="65" spans="4:6">
      <c r="D65" s="443"/>
      <c r="E65" s="443"/>
      <c r="F65" s="443"/>
    </row>
    <row r="66" spans="4:6">
      <c r="D66" s="443"/>
      <c r="E66" s="443"/>
      <c r="F66" s="443"/>
    </row>
    <row r="67" spans="4:6">
      <c r="D67" s="443"/>
      <c r="E67" s="443"/>
      <c r="F67" s="443"/>
    </row>
    <row r="68" spans="4:6">
      <c r="D68" s="443"/>
      <c r="E68" s="443"/>
      <c r="F68" s="443"/>
    </row>
    <row r="69" spans="4:6">
      <c r="D69" s="443"/>
      <c r="E69" s="443"/>
      <c r="F69" s="443"/>
    </row>
    <row r="70" spans="4:6">
      <c r="D70" s="443"/>
      <c r="E70" s="443"/>
      <c r="F70" s="443"/>
    </row>
    <row r="71" spans="4:6">
      <c r="D71" s="443"/>
      <c r="E71" s="443"/>
      <c r="F71" s="443"/>
    </row>
    <row r="72" spans="4:6">
      <c r="D72" s="443"/>
      <c r="E72" s="443"/>
      <c r="F72" s="443"/>
    </row>
    <row r="73" spans="4:6">
      <c r="D73" s="443"/>
      <c r="E73" s="443"/>
      <c r="F73" s="443"/>
    </row>
    <row r="74" spans="4:6">
      <c r="D74" s="443"/>
      <c r="E74" s="443"/>
      <c r="F74" s="443"/>
    </row>
    <row r="75" spans="4:6">
      <c r="D75" s="443"/>
      <c r="E75" s="443"/>
      <c r="F75" s="443"/>
    </row>
    <row r="76" spans="4:6">
      <c r="D76" s="443"/>
      <c r="E76" s="443"/>
      <c r="F76" s="443"/>
    </row>
    <row r="77" spans="4:6">
      <c r="D77" s="443"/>
      <c r="E77" s="443"/>
      <c r="F77" s="443"/>
    </row>
    <row r="78" spans="4:6">
      <c r="D78" s="443"/>
      <c r="E78" s="443"/>
      <c r="F78" s="443"/>
    </row>
    <row r="79" spans="4:6">
      <c r="D79" s="443"/>
      <c r="E79" s="443"/>
      <c r="F79" s="443"/>
    </row>
    <row r="80" spans="4:6">
      <c r="D80" s="443"/>
      <c r="E80" s="443"/>
      <c r="F80" s="443"/>
    </row>
    <row r="81" spans="4:6">
      <c r="D81" s="443"/>
      <c r="E81" s="443"/>
      <c r="F81" s="443"/>
    </row>
    <row r="82" spans="4:6">
      <c r="D82" s="443"/>
      <c r="E82" s="443"/>
      <c r="F82" s="443"/>
    </row>
    <row r="83" spans="4:6">
      <c r="D83" s="443"/>
      <c r="E83" s="443"/>
      <c r="F83" s="443"/>
    </row>
    <row r="84" spans="4:6">
      <c r="D84" s="443"/>
      <c r="E84" s="443"/>
      <c r="F84" s="443"/>
    </row>
    <row r="85" spans="4:6">
      <c r="D85" s="443"/>
      <c r="E85" s="443"/>
      <c r="F85" s="443"/>
    </row>
    <row r="86" spans="4:6">
      <c r="D86" s="443"/>
      <c r="E86" s="443"/>
      <c r="F86" s="443"/>
    </row>
    <row r="87" spans="4:6">
      <c r="D87" s="443"/>
      <c r="E87" s="443"/>
      <c r="F87" s="443"/>
    </row>
    <row r="88" spans="4:6">
      <c r="D88" s="443"/>
      <c r="E88" s="443"/>
      <c r="F88" s="443"/>
    </row>
    <row r="89" spans="4:6">
      <c r="D89" s="443"/>
      <c r="E89" s="443"/>
      <c r="F89" s="443"/>
    </row>
    <row r="90" spans="4:6">
      <c r="D90" s="443"/>
      <c r="E90" s="443"/>
      <c r="F90" s="443"/>
    </row>
    <row r="91" spans="4:6">
      <c r="D91" s="443"/>
      <c r="E91" s="443"/>
      <c r="F91" s="443"/>
    </row>
    <row r="92" spans="4:6">
      <c r="D92" s="443"/>
      <c r="E92" s="443"/>
      <c r="F92" s="443"/>
    </row>
    <row r="93" spans="4:6">
      <c r="D93" s="443"/>
      <c r="E93" s="443"/>
      <c r="F93" s="443"/>
    </row>
    <row r="94" spans="4:6">
      <c r="D94" s="443"/>
      <c r="E94" s="443"/>
      <c r="F94" s="443"/>
    </row>
    <row r="95" spans="4:6">
      <c r="D95" s="443"/>
      <c r="E95" s="443"/>
      <c r="F95" s="443"/>
    </row>
    <row r="96" spans="4:6">
      <c r="D96" s="443"/>
      <c r="E96" s="443"/>
      <c r="F96" s="443"/>
    </row>
    <row r="97" spans="4:6">
      <c r="D97" s="443"/>
      <c r="E97" s="443"/>
      <c r="F97" s="443"/>
    </row>
    <row r="98" spans="4:6">
      <c r="D98" s="443"/>
      <c r="E98" s="443"/>
      <c r="F98" s="443"/>
    </row>
    <row r="99" spans="4:6">
      <c r="D99" s="443"/>
      <c r="E99" s="443"/>
      <c r="F99" s="443"/>
    </row>
    <row r="100" spans="4:6">
      <c r="D100" s="443"/>
      <c r="E100" s="443"/>
      <c r="F100" s="443"/>
    </row>
    <row r="101" spans="4:6">
      <c r="D101" s="443"/>
      <c r="E101" s="443"/>
      <c r="F101" s="443"/>
    </row>
    <row r="102" spans="4:6">
      <c r="D102" s="443"/>
      <c r="E102" s="443"/>
      <c r="F102" s="443"/>
    </row>
    <row r="103" spans="4:6">
      <c r="D103" s="443"/>
      <c r="E103" s="443"/>
      <c r="F103" s="443"/>
    </row>
    <row r="104" spans="4:6">
      <c r="D104" s="443"/>
      <c r="E104" s="443"/>
      <c r="F104" s="443"/>
    </row>
    <row r="105" spans="4:6">
      <c r="D105" s="443"/>
      <c r="E105" s="443"/>
      <c r="F105" s="443"/>
    </row>
    <row r="106" spans="4:6">
      <c r="D106" s="443"/>
      <c r="E106" s="443"/>
      <c r="F106" s="443"/>
    </row>
    <row r="107" spans="4:6">
      <c r="D107" s="443"/>
      <c r="E107" s="443"/>
      <c r="F107" s="443"/>
    </row>
    <row r="108" spans="4:6">
      <c r="D108" s="443"/>
      <c r="E108" s="443"/>
      <c r="F108" s="443"/>
    </row>
    <row r="109" spans="4:6">
      <c r="D109" s="443"/>
      <c r="E109" s="443"/>
      <c r="F109" s="443"/>
    </row>
    <row r="110" spans="4:6">
      <c r="D110" s="443"/>
      <c r="E110" s="443"/>
      <c r="F110" s="443"/>
    </row>
    <row r="111" spans="4:6">
      <c r="D111" s="443"/>
      <c r="E111" s="443"/>
      <c r="F111" s="443"/>
    </row>
    <row r="112" spans="4:6">
      <c r="D112" s="443"/>
      <c r="E112" s="443"/>
      <c r="F112" s="443"/>
    </row>
    <row r="113" spans="4:6">
      <c r="D113" s="443"/>
      <c r="E113" s="443"/>
      <c r="F113" s="443"/>
    </row>
    <row r="114" spans="4:6">
      <c r="D114" s="443"/>
      <c r="E114" s="443"/>
      <c r="F114" s="443"/>
    </row>
    <row r="115" spans="4:6">
      <c r="D115" s="443"/>
      <c r="E115" s="443"/>
      <c r="F115" s="443"/>
    </row>
    <row r="116" spans="4:6">
      <c r="D116" s="443"/>
      <c r="E116" s="443"/>
      <c r="F116" s="443"/>
    </row>
    <row r="117" spans="4:6">
      <c r="D117" s="443"/>
      <c r="E117" s="443"/>
      <c r="F117" s="443"/>
    </row>
    <row r="118" spans="4:6">
      <c r="D118" s="443"/>
      <c r="E118" s="443"/>
      <c r="F118" s="443"/>
    </row>
    <row r="119" spans="4:6">
      <c r="D119" s="443"/>
      <c r="E119" s="443"/>
      <c r="F119" s="443"/>
    </row>
    <row r="120" spans="4:6">
      <c r="D120" s="443"/>
      <c r="E120" s="443"/>
      <c r="F120" s="443"/>
    </row>
    <row r="121" spans="4:6">
      <c r="D121" s="443"/>
      <c r="E121" s="443"/>
      <c r="F121" s="443"/>
    </row>
    <row r="122" spans="4:6">
      <c r="D122" s="443"/>
      <c r="E122" s="443"/>
      <c r="F122" s="443"/>
    </row>
    <row r="123" spans="4:6">
      <c r="D123" s="443"/>
      <c r="E123" s="443"/>
      <c r="F123" s="443"/>
    </row>
    <row r="124" spans="4:6">
      <c r="D124" s="443"/>
      <c r="E124" s="443"/>
      <c r="F124" s="443"/>
    </row>
    <row r="125" spans="4:6">
      <c r="D125" s="443"/>
      <c r="E125" s="443"/>
      <c r="F125" s="443"/>
    </row>
    <row r="126" spans="4:6">
      <c r="D126" s="443"/>
      <c r="E126" s="443"/>
      <c r="F126" s="443"/>
    </row>
    <row r="127" spans="4:6">
      <c r="D127" s="443"/>
      <c r="E127" s="443"/>
      <c r="F127" s="443"/>
    </row>
    <row r="128" spans="4:6">
      <c r="D128" s="443"/>
      <c r="E128" s="443"/>
      <c r="F128" s="443"/>
    </row>
    <row r="129" spans="4:6">
      <c r="D129" s="443"/>
      <c r="E129" s="443"/>
      <c r="F129" s="443"/>
    </row>
    <row r="130" spans="4:6">
      <c r="D130" s="443"/>
      <c r="E130" s="443"/>
      <c r="F130" s="443"/>
    </row>
    <row r="131" spans="4:6">
      <c r="D131" s="443"/>
      <c r="E131" s="443"/>
      <c r="F131" s="443"/>
    </row>
    <row r="132" spans="4:6">
      <c r="D132" s="443"/>
      <c r="E132" s="443"/>
      <c r="F132" s="443"/>
    </row>
    <row r="133" spans="4:6">
      <c r="D133" s="443"/>
      <c r="E133" s="443"/>
      <c r="F133" s="443"/>
    </row>
    <row r="134" spans="4:6">
      <c r="D134" s="443"/>
      <c r="E134" s="443"/>
      <c r="F134" s="443"/>
    </row>
    <row r="135" spans="4:6">
      <c r="D135" s="443"/>
      <c r="E135" s="443"/>
      <c r="F135" s="443"/>
    </row>
    <row r="136" spans="4:6">
      <c r="D136" s="443"/>
      <c r="E136" s="443"/>
      <c r="F136" s="443"/>
    </row>
    <row r="137" spans="4:6">
      <c r="D137" s="443"/>
      <c r="E137" s="443"/>
      <c r="F137" s="443"/>
    </row>
    <row r="138" spans="4:6">
      <c r="D138" s="443"/>
      <c r="E138" s="443"/>
      <c r="F138" s="443"/>
    </row>
    <row r="139" spans="4:6">
      <c r="D139" s="443"/>
      <c r="E139" s="443"/>
      <c r="F139" s="443"/>
    </row>
    <row r="140" spans="4:6">
      <c r="D140" s="443"/>
      <c r="E140" s="443"/>
      <c r="F140" s="443"/>
    </row>
    <row r="141" spans="4:6">
      <c r="D141" s="443"/>
      <c r="E141" s="443"/>
      <c r="F141" s="443"/>
    </row>
    <row r="142" spans="4:6">
      <c r="D142" s="443"/>
      <c r="E142" s="443"/>
      <c r="F142" s="443"/>
    </row>
    <row r="143" spans="4:6">
      <c r="D143" s="443"/>
      <c r="E143" s="443"/>
      <c r="F143" s="443"/>
    </row>
    <row r="144" spans="4:6">
      <c r="D144" s="443"/>
      <c r="E144" s="443"/>
      <c r="F144" s="443"/>
    </row>
    <row r="145" spans="4:6">
      <c r="D145" s="443"/>
      <c r="E145" s="443"/>
      <c r="F145" s="443"/>
    </row>
    <row r="146" spans="4:6">
      <c r="D146" s="443"/>
      <c r="E146" s="443"/>
      <c r="F146" s="443"/>
    </row>
    <row r="147" spans="4:6">
      <c r="D147" s="443"/>
      <c r="E147" s="443"/>
      <c r="F147" s="443"/>
    </row>
    <row r="148" spans="4:6">
      <c r="D148" s="443"/>
      <c r="E148" s="443"/>
      <c r="F148" s="443"/>
    </row>
    <row r="149" spans="4:6">
      <c r="D149" s="443"/>
      <c r="E149" s="443"/>
      <c r="F149" s="443"/>
    </row>
    <row r="150" spans="4:6">
      <c r="D150" s="443"/>
      <c r="E150" s="443"/>
      <c r="F150" s="443"/>
    </row>
    <row r="151" spans="4:6">
      <c r="D151" s="443"/>
      <c r="E151" s="443"/>
      <c r="F151" s="443"/>
    </row>
    <row r="152" spans="4:6">
      <c r="D152" s="443"/>
      <c r="E152" s="443"/>
      <c r="F152" s="443"/>
    </row>
    <row r="153" spans="4:6">
      <c r="D153" s="443"/>
      <c r="E153" s="443"/>
      <c r="F153" s="443"/>
    </row>
    <row r="154" spans="4:6">
      <c r="D154" s="443"/>
      <c r="E154" s="443"/>
      <c r="F154" s="443"/>
    </row>
    <row r="155" spans="4:6">
      <c r="D155" s="443"/>
      <c r="E155" s="443"/>
      <c r="F155" s="443"/>
    </row>
    <row r="156" spans="4:6">
      <c r="D156" s="443"/>
      <c r="E156" s="443"/>
      <c r="F156" s="443"/>
    </row>
    <row r="157" spans="4:6">
      <c r="D157" s="443"/>
      <c r="E157" s="443"/>
      <c r="F157" s="443"/>
    </row>
    <row r="158" spans="4:6">
      <c r="D158" s="443"/>
      <c r="E158" s="443"/>
      <c r="F158" s="443"/>
    </row>
    <row r="159" spans="4:6">
      <c r="D159" s="443"/>
      <c r="E159" s="443"/>
      <c r="F159" s="443"/>
    </row>
    <row r="160" spans="4:6">
      <c r="D160" s="443"/>
      <c r="E160" s="443"/>
      <c r="F160" s="443"/>
    </row>
    <row r="161" spans="4:6">
      <c r="D161" s="443"/>
      <c r="E161" s="443"/>
      <c r="F161" s="443"/>
    </row>
    <row r="162" spans="4:6">
      <c r="D162" s="443"/>
      <c r="E162" s="443"/>
      <c r="F162" s="443"/>
    </row>
    <row r="163" spans="4:6">
      <c r="D163" s="443"/>
      <c r="E163" s="443"/>
      <c r="F163" s="443"/>
    </row>
    <row r="164" spans="4:6">
      <c r="D164" s="443"/>
      <c r="E164" s="443"/>
      <c r="F164" s="443"/>
    </row>
    <row r="165" spans="4:6">
      <c r="D165" s="443"/>
      <c r="E165" s="443"/>
      <c r="F165" s="443"/>
    </row>
    <row r="166" spans="4:6">
      <c r="D166" s="443"/>
      <c r="E166" s="443"/>
      <c r="F166" s="443"/>
    </row>
    <row r="167" spans="4:6">
      <c r="D167" s="443"/>
      <c r="E167" s="443"/>
      <c r="F167" s="443"/>
    </row>
    <row r="168" spans="4:6">
      <c r="D168" s="443"/>
      <c r="E168" s="443"/>
      <c r="F168" s="443"/>
    </row>
    <row r="169" spans="4:6">
      <c r="D169" s="443"/>
      <c r="E169" s="443"/>
      <c r="F169" s="443"/>
    </row>
    <row r="170" spans="4:6">
      <c r="D170" s="443"/>
      <c r="E170" s="443"/>
      <c r="F170" s="443"/>
    </row>
    <row r="171" spans="4:6">
      <c r="D171" s="443"/>
      <c r="E171" s="443"/>
      <c r="F171" s="443"/>
    </row>
    <row r="172" spans="4:6">
      <c r="D172" s="443"/>
      <c r="E172" s="443"/>
      <c r="F172" s="443"/>
    </row>
    <row r="173" spans="4:6">
      <c r="D173" s="443"/>
      <c r="E173" s="443"/>
      <c r="F173" s="443"/>
    </row>
    <row r="174" spans="4:6">
      <c r="D174" s="443"/>
      <c r="E174" s="443"/>
      <c r="F174" s="443"/>
    </row>
    <row r="175" spans="4:6">
      <c r="D175" s="443"/>
      <c r="E175" s="443"/>
      <c r="F175" s="443"/>
    </row>
    <row r="176" spans="4:6">
      <c r="D176" s="443"/>
      <c r="E176" s="443"/>
      <c r="F176" s="443"/>
    </row>
    <row r="177" spans="4:6">
      <c r="D177" s="443"/>
      <c r="E177" s="443"/>
      <c r="F177" s="443"/>
    </row>
    <row r="178" spans="4:6">
      <c r="D178" s="443"/>
      <c r="E178" s="443"/>
      <c r="F178" s="443"/>
    </row>
    <row r="179" spans="4:6">
      <c r="D179" s="443"/>
      <c r="E179" s="443"/>
      <c r="F179" s="443"/>
    </row>
    <row r="180" spans="4:6">
      <c r="D180" s="443"/>
      <c r="E180" s="443"/>
      <c r="F180" s="443"/>
    </row>
    <row r="181" spans="4:6">
      <c r="D181" s="443"/>
      <c r="E181" s="443"/>
      <c r="F181" s="443"/>
    </row>
    <row r="182" spans="4:6">
      <c r="D182" s="443"/>
      <c r="E182" s="443"/>
      <c r="F182" s="443"/>
    </row>
    <row r="183" spans="4:6">
      <c r="D183" s="443"/>
      <c r="E183" s="443"/>
      <c r="F183" s="443"/>
    </row>
    <row r="184" spans="4:6">
      <c r="D184" s="443"/>
      <c r="E184" s="443"/>
      <c r="F184" s="443"/>
    </row>
    <row r="185" spans="4:6">
      <c r="D185" s="443"/>
      <c r="E185" s="443"/>
      <c r="F185" s="443"/>
    </row>
    <row r="186" spans="4:6">
      <c r="D186" s="443"/>
      <c r="E186" s="443"/>
      <c r="F186" s="443"/>
    </row>
    <row r="187" spans="4:6">
      <c r="D187" s="443"/>
      <c r="E187" s="443"/>
      <c r="F187" s="443"/>
    </row>
    <row r="188" spans="4:6">
      <c r="D188" s="443"/>
      <c r="E188" s="443"/>
      <c r="F188" s="443"/>
    </row>
    <row r="189" spans="4:6">
      <c r="D189" s="443"/>
      <c r="E189" s="443"/>
      <c r="F189" s="443"/>
    </row>
    <row r="190" spans="4:6">
      <c r="D190" s="443"/>
      <c r="E190" s="443"/>
      <c r="F190" s="443"/>
    </row>
    <row r="191" spans="4:6">
      <c r="D191" s="443"/>
      <c r="E191" s="443"/>
      <c r="F191" s="443"/>
    </row>
    <row r="192" spans="4:6">
      <c r="D192" s="443"/>
      <c r="E192" s="443"/>
      <c r="F192" s="443"/>
    </row>
    <row r="193" spans="4:6">
      <c r="D193" s="443"/>
      <c r="E193" s="443"/>
      <c r="F193" s="443"/>
    </row>
    <row r="194" spans="4:6">
      <c r="D194" s="443"/>
      <c r="E194" s="443"/>
      <c r="F194" s="443"/>
    </row>
    <row r="195" spans="4:6">
      <c r="D195" s="443"/>
      <c r="E195" s="443"/>
      <c r="F195" s="443"/>
    </row>
    <row r="196" spans="4:6">
      <c r="D196" s="443"/>
      <c r="E196" s="443"/>
      <c r="F196" s="443"/>
    </row>
    <row r="197" spans="4:6">
      <c r="D197" s="443"/>
      <c r="E197" s="443"/>
      <c r="F197" s="443"/>
    </row>
    <row r="198" spans="4:6">
      <c r="D198" s="443"/>
      <c r="E198" s="443"/>
      <c r="F198" s="443"/>
    </row>
    <row r="199" spans="4:6">
      <c r="D199" s="443"/>
      <c r="E199" s="443"/>
      <c r="F199" s="443"/>
    </row>
    <row r="200" spans="4:6">
      <c r="D200" s="443"/>
      <c r="E200" s="443"/>
      <c r="F200" s="443"/>
    </row>
    <row r="201" spans="4:6">
      <c r="D201" s="443"/>
      <c r="E201" s="443"/>
      <c r="F201" s="443"/>
    </row>
    <row r="202" spans="4:6">
      <c r="D202" s="443"/>
      <c r="E202" s="443"/>
      <c r="F202" s="443"/>
    </row>
    <row r="203" spans="4:6">
      <c r="D203" s="443"/>
      <c r="E203" s="443"/>
      <c r="F203" s="443"/>
    </row>
    <row r="204" spans="4:6">
      <c r="D204" s="443"/>
      <c r="E204" s="443"/>
      <c r="F204" s="443"/>
    </row>
    <row r="205" spans="4:6">
      <c r="D205" s="443"/>
      <c r="E205" s="443"/>
      <c r="F205" s="443"/>
    </row>
    <row r="206" spans="4:6">
      <c r="D206" s="443"/>
      <c r="E206" s="443"/>
      <c r="F206" s="443"/>
    </row>
    <row r="207" spans="4:6">
      <c r="D207" s="443"/>
      <c r="E207" s="443"/>
      <c r="F207" s="443"/>
    </row>
    <row r="208" spans="4:6">
      <c r="D208" s="443"/>
      <c r="E208" s="443"/>
      <c r="F208" s="443"/>
    </row>
    <row r="209" spans="4:6">
      <c r="D209" s="443"/>
      <c r="E209" s="443"/>
      <c r="F209" s="443"/>
    </row>
    <row r="210" spans="4:6">
      <c r="D210" s="443"/>
      <c r="E210" s="443"/>
      <c r="F210" s="443"/>
    </row>
    <row r="211" spans="4:6">
      <c r="D211" s="443"/>
      <c r="E211" s="443"/>
      <c r="F211" s="443"/>
    </row>
    <row r="212" spans="4:6">
      <c r="D212" s="443"/>
      <c r="E212" s="443"/>
      <c r="F212" s="443"/>
    </row>
    <row r="213" spans="4:6">
      <c r="D213" s="443"/>
      <c r="E213" s="443"/>
      <c r="F213" s="443"/>
    </row>
    <row r="214" spans="4:6">
      <c r="D214" s="443"/>
      <c r="E214" s="443"/>
      <c r="F214" s="443"/>
    </row>
    <row r="215" spans="4:6">
      <c r="D215" s="443"/>
      <c r="E215" s="443"/>
      <c r="F215" s="443"/>
    </row>
    <row r="216" spans="4:6">
      <c r="D216" s="443"/>
      <c r="E216" s="443"/>
      <c r="F216" s="443"/>
    </row>
    <row r="217" spans="4:6">
      <c r="D217" s="443"/>
      <c r="E217" s="443"/>
      <c r="F217" s="443"/>
    </row>
    <row r="218" spans="4:6">
      <c r="D218" s="443"/>
      <c r="E218" s="443"/>
      <c r="F218" s="443"/>
    </row>
    <row r="219" spans="4:6">
      <c r="D219" s="443"/>
      <c r="E219" s="443"/>
      <c r="F219" s="443"/>
    </row>
    <row r="220" spans="4:6">
      <c r="D220" s="443"/>
      <c r="E220" s="443"/>
      <c r="F220" s="443"/>
    </row>
    <row r="221" spans="4:6">
      <c r="D221" s="443"/>
      <c r="E221" s="443"/>
      <c r="F221" s="443"/>
    </row>
    <row r="222" spans="4:6">
      <c r="D222" s="443"/>
      <c r="E222" s="443"/>
      <c r="F222" s="443"/>
    </row>
    <row r="223" spans="4:6">
      <c r="D223" s="443"/>
      <c r="E223" s="443"/>
      <c r="F223" s="443"/>
    </row>
    <row r="224" spans="4:6">
      <c r="D224" s="443"/>
      <c r="E224" s="443"/>
      <c r="F224" s="443"/>
    </row>
    <row r="225" spans="4:6">
      <c r="D225" s="443"/>
      <c r="E225" s="443"/>
      <c r="F225" s="443"/>
    </row>
    <row r="226" spans="4:6">
      <c r="D226" s="443"/>
      <c r="E226" s="443"/>
      <c r="F226" s="443"/>
    </row>
    <row r="227" spans="4:6">
      <c r="D227" s="443"/>
      <c r="E227" s="443"/>
      <c r="F227" s="443"/>
    </row>
    <row r="228" spans="4:6">
      <c r="D228" s="443"/>
      <c r="E228" s="443"/>
      <c r="F228" s="443"/>
    </row>
    <row r="229" spans="4:6">
      <c r="D229" s="443"/>
      <c r="E229" s="443"/>
      <c r="F229" s="443"/>
    </row>
    <row r="230" spans="4:6">
      <c r="D230" s="443"/>
      <c r="E230" s="443"/>
      <c r="F230" s="443"/>
    </row>
    <row r="231" spans="4:6">
      <c r="D231" s="443"/>
      <c r="E231" s="443"/>
      <c r="F231" s="443"/>
    </row>
    <row r="232" spans="4:6">
      <c r="D232" s="443"/>
      <c r="E232" s="443"/>
      <c r="F232" s="443"/>
    </row>
    <row r="233" spans="4:6">
      <c r="D233" s="443"/>
      <c r="E233" s="443"/>
      <c r="F233" s="443"/>
    </row>
    <row r="234" spans="4:6">
      <c r="D234" s="443"/>
      <c r="E234" s="443"/>
      <c r="F234" s="443"/>
    </row>
    <row r="235" spans="4:6">
      <c r="D235" s="443"/>
      <c r="E235" s="443"/>
      <c r="F235" s="443"/>
    </row>
    <row r="236" spans="4:6">
      <c r="D236" s="443"/>
      <c r="E236" s="443"/>
      <c r="F236" s="443"/>
    </row>
    <row r="237" spans="4:6">
      <c r="D237" s="443"/>
      <c r="E237" s="443"/>
      <c r="F237" s="443"/>
    </row>
    <row r="238" spans="4:6">
      <c r="D238" s="443"/>
      <c r="E238" s="443"/>
      <c r="F238" s="443"/>
    </row>
    <row r="239" spans="4:6">
      <c r="D239" s="443"/>
      <c r="E239" s="443"/>
      <c r="F239" s="443"/>
    </row>
    <row r="240" spans="4:6">
      <c r="D240" s="443"/>
      <c r="E240" s="443"/>
      <c r="F240" s="443"/>
    </row>
    <row r="241" spans="4:6">
      <c r="D241" s="443"/>
      <c r="E241" s="443"/>
      <c r="F241" s="443"/>
    </row>
    <row r="242" spans="4:6">
      <c r="D242" s="443"/>
      <c r="E242" s="443"/>
      <c r="F242" s="443"/>
    </row>
    <row r="243" spans="4:6">
      <c r="D243" s="443"/>
      <c r="E243" s="443"/>
      <c r="F243" s="443"/>
    </row>
    <row r="244" spans="4:6">
      <c r="D244" s="443"/>
      <c r="E244" s="443"/>
      <c r="F244" s="443"/>
    </row>
    <row r="245" spans="4:6">
      <c r="D245" s="443"/>
      <c r="E245" s="443"/>
      <c r="F245" s="443"/>
    </row>
    <row r="246" spans="4:6">
      <c r="D246" s="443"/>
      <c r="E246" s="443"/>
      <c r="F246" s="443"/>
    </row>
    <row r="247" spans="4:6">
      <c r="D247" s="443"/>
      <c r="E247" s="443"/>
      <c r="F247" s="443"/>
    </row>
    <row r="248" spans="4:6">
      <c r="D248" s="443"/>
      <c r="E248" s="443"/>
      <c r="F248" s="443"/>
    </row>
    <row r="249" spans="4:6">
      <c r="D249" s="443"/>
      <c r="E249" s="443"/>
      <c r="F249" s="443"/>
    </row>
    <row r="250" spans="4:6">
      <c r="D250" s="443"/>
      <c r="E250" s="443"/>
      <c r="F250" s="443"/>
    </row>
    <row r="251" spans="4:6">
      <c r="D251" s="443"/>
      <c r="E251" s="443"/>
      <c r="F251" s="443"/>
    </row>
    <row r="252" spans="4:6">
      <c r="D252" s="443"/>
      <c r="E252" s="443"/>
      <c r="F252" s="443"/>
    </row>
    <row r="253" spans="4:6">
      <c r="D253" s="443"/>
      <c r="E253" s="443"/>
      <c r="F253" s="443"/>
    </row>
    <row r="254" spans="4:6">
      <c r="D254" s="443"/>
      <c r="E254" s="443"/>
      <c r="F254" s="443"/>
    </row>
    <row r="255" spans="4:6">
      <c r="D255" s="443"/>
      <c r="E255" s="443"/>
      <c r="F255" s="443"/>
    </row>
    <row r="256" spans="4:6">
      <c r="D256" s="443"/>
      <c r="E256" s="443"/>
      <c r="F256" s="443"/>
    </row>
    <row r="257" spans="4:6">
      <c r="D257" s="443"/>
      <c r="E257" s="443"/>
      <c r="F257" s="443"/>
    </row>
    <row r="258" spans="4:6">
      <c r="D258" s="443"/>
      <c r="E258" s="443"/>
      <c r="F258" s="443"/>
    </row>
    <row r="259" spans="4:6">
      <c r="D259" s="443"/>
      <c r="E259" s="443"/>
      <c r="F259" s="443"/>
    </row>
    <row r="260" spans="4:6">
      <c r="D260" s="443"/>
      <c r="E260" s="443"/>
      <c r="F260" s="443"/>
    </row>
    <row r="261" spans="4:6">
      <c r="D261" s="443"/>
      <c r="E261" s="443"/>
      <c r="F261" s="443"/>
    </row>
    <row r="262" spans="4:6">
      <c r="D262" s="443"/>
      <c r="E262" s="443"/>
      <c r="F262" s="443"/>
    </row>
    <row r="263" spans="4:6">
      <c r="D263" s="443"/>
      <c r="E263" s="443"/>
      <c r="F263" s="443"/>
    </row>
    <row r="264" spans="4:6">
      <c r="D264" s="443"/>
      <c r="E264" s="443"/>
      <c r="F264" s="443"/>
    </row>
    <row r="265" spans="4:6">
      <c r="D265" s="443"/>
      <c r="E265" s="443"/>
      <c r="F265" s="443"/>
    </row>
    <row r="266" spans="4:6">
      <c r="D266" s="443"/>
      <c r="E266" s="443"/>
      <c r="F266" s="443"/>
    </row>
    <row r="267" spans="4:6">
      <c r="D267" s="443"/>
      <c r="E267" s="443"/>
      <c r="F267" s="443"/>
    </row>
    <row r="268" spans="4:6">
      <c r="D268" s="443"/>
      <c r="E268" s="443"/>
      <c r="F268" s="443"/>
    </row>
    <row r="269" spans="4:6">
      <c r="D269" s="443"/>
      <c r="E269" s="443"/>
      <c r="F269" s="443"/>
    </row>
    <row r="270" spans="4:6">
      <c r="D270" s="443"/>
      <c r="E270" s="443"/>
      <c r="F270" s="443"/>
    </row>
    <row r="271" spans="4:6">
      <c r="D271" s="443"/>
      <c r="E271" s="443"/>
      <c r="F271" s="443"/>
    </row>
    <row r="272" spans="4:6">
      <c r="D272" s="443"/>
      <c r="E272" s="443"/>
      <c r="F272" s="443"/>
    </row>
    <row r="273" spans="4:6">
      <c r="D273" s="443"/>
      <c r="E273" s="443"/>
      <c r="F273" s="443"/>
    </row>
    <row r="274" spans="4:6">
      <c r="D274" s="443"/>
      <c r="E274" s="443"/>
      <c r="F274" s="443"/>
    </row>
    <row r="275" spans="4:6">
      <c r="D275" s="443"/>
      <c r="E275" s="443"/>
      <c r="F275" s="443"/>
    </row>
    <row r="276" spans="4:6">
      <c r="D276" s="443"/>
      <c r="E276" s="443"/>
      <c r="F276" s="443"/>
    </row>
    <row r="277" spans="4:6">
      <c r="D277" s="443"/>
      <c r="E277" s="443"/>
      <c r="F277" s="443"/>
    </row>
    <row r="278" spans="4:6">
      <c r="D278" s="443"/>
      <c r="E278" s="443"/>
      <c r="F278" s="443"/>
    </row>
    <row r="279" spans="4:6">
      <c r="D279" s="443"/>
      <c r="E279" s="443"/>
      <c r="F279" s="443"/>
    </row>
    <row r="280" spans="4:6">
      <c r="D280" s="443"/>
      <c r="E280" s="443"/>
      <c r="F280" s="443"/>
    </row>
    <row r="281" spans="4:6">
      <c r="D281" s="443"/>
      <c r="E281" s="443"/>
      <c r="F281" s="443"/>
    </row>
    <row r="282" spans="4:6">
      <c r="D282" s="443"/>
      <c r="E282" s="443"/>
      <c r="F282" s="443"/>
    </row>
    <row r="283" spans="4:6">
      <c r="D283" s="443"/>
      <c r="E283" s="443"/>
      <c r="F283" s="443"/>
    </row>
    <row r="284" spans="4:6">
      <c r="D284" s="443"/>
      <c r="E284" s="443"/>
      <c r="F284" s="443"/>
    </row>
    <row r="285" spans="4:6">
      <c r="D285" s="443"/>
      <c r="E285" s="443"/>
      <c r="F285" s="443"/>
    </row>
    <row r="286" spans="4:6">
      <c r="D286" s="443"/>
      <c r="E286" s="443"/>
      <c r="F286" s="443"/>
    </row>
    <row r="287" spans="4:6">
      <c r="D287" s="443"/>
      <c r="E287" s="443"/>
      <c r="F287" s="443"/>
    </row>
    <row r="288" spans="4:6">
      <c r="D288" s="443"/>
      <c r="E288" s="443"/>
      <c r="F288" s="443"/>
    </row>
    <row r="289" spans="4:6">
      <c r="D289" s="443"/>
      <c r="E289" s="443"/>
      <c r="F289" s="443"/>
    </row>
    <row r="290" spans="4:6">
      <c r="D290" s="443"/>
      <c r="E290" s="443"/>
      <c r="F290" s="443"/>
    </row>
    <row r="291" spans="4:6">
      <c r="D291" s="443"/>
      <c r="E291" s="443"/>
      <c r="F291" s="443"/>
    </row>
    <row r="292" spans="4:6">
      <c r="D292" s="443"/>
      <c r="E292" s="443"/>
      <c r="F292" s="443"/>
    </row>
    <row r="293" spans="4:6">
      <c r="D293" s="443"/>
      <c r="E293" s="443"/>
      <c r="F293" s="443"/>
    </row>
    <row r="294" spans="4:6">
      <c r="D294" s="443"/>
      <c r="E294" s="443"/>
      <c r="F294" s="443"/>
    </row>
    <row r="295" spans="4:6">
      <c r="D295" s="443"/>
      <c r="E295" s="443"/>
      <c r="F295" s="443"/>
    </row>
    <row r="296" spans="4:6">
      <c r="D296" s="443"/>
      <c r="E296" s="443"/>
      <c r="F296" s="443"/>
    </row>
    <row r="297" spans="4:6">
      <c r="D297" s="443"/>
      <c r="E297" s="443"/>
      <c r="F297" s="443"/>
    </row>
    <row r="298" spans="4:6">
      <c r="D298" s="443"/>
      <c r="E298" s="443"/>
      <c r="F298" s="443"/>
    </row>
    <row r="299" spans="4:6">
      <c r="D299" s="443"/>
      <c r="E299" s="443"/>
      <c r="F299" s="443"/>
    </row>
    <row r="300" spans="4:6">
      <c r="D300" s="443"/>
      <c r="E300" s="443"/>
      <c r="F300" s="443"/>
    </row>
    <row r="301" spans="4:6">
      <c r="D301" s="443"/>
      <c r="E301" s="443"/>
      <c r="F301" s="443"/>
    </row>
    <row r="302" spans="4:6">
      <c r="D302" s="443"/>
      <c r="E302" s="443"/>
      <c r="F302" s="443"/>
    </row>
    <row r="303" spans="4:6">
      <c r="D303" s="443"/>
      <c r="E303" s="443"/>
      <c r="F303" s="443"/>
    </row>
    <row r="304" spans="4:6">
      <c r="D304" s="443"/>
      <c r="E304" s="443"/>
      <c r="F304" s="443"/>
    </row>
    <row r="305" spans="4:6">
      <c r="D305" s="443"/>
      <c r="E305" s="443"/>
      <c r="F305" s="443"/>
    </row>
    <row r="306" spans="4:6">
      <c r="D306" s="443"/>
      <c r="E306" s="443"/>
      <c r="F306" s="443"/>
    </row>
    <row r="307" spans="4:6">
      <c r="D307" s="443"/>
      <c r="E307" s="443"/>
      <c r="F307" s="443"/>
    </row>
    <row r="308" spans="4:6">
      <c r="D308" s="443"/>
      <c r="E308" s="443"/>
      <c r="F308" s="443"/>
    </row>
    <row r="309" spans="4:6">
      <c r="D309" s="443"/>
      <c r="E309" s="443"/>
      <c r="F309" s="443"/>
    </row>
    <row r="310" spans="4:6">
      <c r="D310" s="443"/>
      <c r="E310" s="443"/>
      <c r="F310" s="443"/>
    </row>
    <row r="311" spans="4:6">
      <c r="D311" s="443"/>
      <c r="E311" s="443"/>
      <c r="F311" s="443"/>
    </row>
    <row r="312" spans="4:6">
      <c r="D312" s="443"/>
      <c r="E312" s="443"/>
      <c r="F312" s="443"/>
    </row>
    <row r="313" spans="4:6">
      <c r="D313" s="443"/>
      <c r="E313" s="443"/>
      <c r="F313" s="443"/>
    </row>
    <row r="314" spans="4:6">
      <c r="D314" s="443"/>
      <c r="E314" s="443"/>
      <c r="F314" s="443"/>
    </row>
    <row r="315" spans="4:6">
      <c r="D315" s="443"/>
      <c r="E315" s="443"/>
      <c r="F315" s="443"/>
    </row>
    <row r="316" spans="4:6">
      <c r="D316" s="443"/>
      <c r="E316" s="443"/>
      <c r="F316" s="443"/>
    </row>
    <row r="317" spans="4:6">
      <c r="D317" s="443"/>
      <c r="E317" s="443"/>
      <c r="F317" s="443"/>
    </row>
    <row r="318" spans="4:6">
      <c r="D318" s="443"/>
      <c r="E318" s="443"/>
      <c r="F318" s="443"/>
    </row>
    <row r="319" spans="4:6">
      <c r="D319" s="443"/>
      <c r="E319" s="443"/>
      <c r="F319" s="443"/>
    </row>
    <row r="320" spans="4:6">
      <c r="D320" s="443"/>
      <c r="E320" s="443"/>
      <c r="F320" s="443"/>
    </row>
    <row r="321" spans="4:6">
      <c r="D321" s="443"/>
      <c r="E321" s="443"/>
      <c r="F321" s="443"/>
    </row>
    <row r="322" spans="4:6">
      <c r="D322" s="443"/>
      <c r="E322" s="443"/>
      <c r="F322" s="443"/>
    </row>
    <row r="323" spans="4:6">
      <c r="D323" s="443"/>
      <c r="E323" s="443"/>
      <c r="F323" s="443"/>
    </row>
    <row r="324" spans="4:6">
      <c r="D324" s="443"/>
      <c r="E324" s="443"/>
      <c r="F324" s="443"/>
    </row>
    <row r="325" spans="4:6">
      <c r="D325" s="443"/>
      <c r="E325" s="443"/>
      <c r="F325" s="443"/>
    </row>
    <row r="326" spans="4:6">
      <c r="D326" s="443"/>
      <c r="E326" s="443"/>
      <c r="F326" s="443"/>
    </row>
    <row r="327" spans="4:6">
      <c r="D327" s="443"/>
      <c r="E327" s="443"/>
      <c r="F327" s="443"/>
    </row>
    <row r="328" spans="4:6">
      <c r="D328" s="443"/>
      <c r="E328" s="443"/>
      <c r="F328" s="443"/>
    </row>
    <row r="329" spans="4:6">
      <c r="D329" s="443"/>
      <c r="E329" s="443"/>
      <c r="F329" s="443"/>
    </row>
    <row r="330" spans="4:6">
      <c r="D330" s="443"/>
      <c r="E330" s="443"/>
      <c r="F330" s="443"/>
    </row>
    <row r="331" spans="4:6">
      <c r="D331" s="443"/>
      <c r="E331" s="443"/>
      <c r="F331" s="443"/>
    </row>
    <row r="332" spans="4:6">
      <c r="D332" s="443"/>
      <c r="E332" s="443"/>
      <c r="F332" s="443"/>
    </row>
    <row r="333" spans="4:6">
      <c r="D333" s="443"/>
      <c r="E333" s="443"/>
      <c r="F333" s="443"/>
    </row>
    <row r="334" spans="4:6">
      <c r="D334" s="443"/>
      <c r="E334" s="443"/>
      <c r="F334" s="443"/>
    </row>
  </sheetData>
  <mergeCells count="3">
    <mergeCell ref="A4:K4"/>
    <mergeCell ref="A5:K5"/>
    <mergeCell ref="A6:K6"/>
  </mergeCells>
  <phoneticPr fontId="5" type="noConversion"/>
  <pageMargins left="0.75" right="0.75" top="1" bottom="1" header="0.5" footer="0.5"/>
  <pageSetup scale="5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indexed="17"/>
    <pageSetUpPr fitToPage="1"/>
  </sheetPr>
  <dimension ref="A1:G409"/>
  <sheetViews>
    <sheetView zoomScale="90" zoomScaleNormal="90" workbookViewId="0">
      <selection activeCell="D27" sqref="D27"/>
    </sheetView>
  </sheetViews>
  <sheetFormatPr defaultRowHeight="12.75"/>
  <cols>
    <col min="1" max="1" width="8.7109375" bestFit="1" customWidth="1"/>
    <col min="2" max="2" width="58.85546875" bestFit="1" customWidth="1"/>
    <col min="3" max="3" width="17.42578125" style="16" bestFit="1" customWidth="1"/>
    <col min="4" max="4" width="17.5703125" bestFit="1" customWidth="1"/>
    <col min="5" max="5" width="16.5703125" bestFit="1" customWidth="1"/>
  </cols>
  <sheetData>
    <row r="1" spans="1:7">
      <c r="E1" t="str">
        <f>D!J1</f>
        <v>Docket No. RP16-299-000</v>
      </c>
    </row>
    <row r="2" spans="1:7">
      <c r="E2" t="s">
        <v>96</v>
      </c>
    </row>
    <row r="4" spans="1:7">
      <c r="A4" s="927" t="str">
        <f>[1]D!A4</f>
        <v>Tuscarora Gas Transmission Company</v>
      </c>
      <c r="B4" s="927"/>
      <c r="C4" s="927"/>
      <c r="D4" s="927"/>
      <c r="E4" s="927"/>
      <c r="F4" s="927"/>
    </row>
    <row r="5" spans="1:7">
      <c r="A5" s="927" t="s">
        <v>178</v>
      </c>
      <c r="B5" s="927"/>
      <c r="C5" s="927"/>
      <c r="D5" s="927"/>
      <c r="E5" s="927"/>
      <c r="F5" s="927"/>
    </row>
    <row r="6" spans="1:7">
      <c r="A6" s="927" t="s">
        <v>95</v>
      </c>
      <c r="B6" s="927"/>
      <c r="C6" s="927"/>
      <c r="D6" s="927"/>
      <c r="E6" s="927"/>
      <c r="F6" s="927"/>
    </row>
    <row r="8" spans="1:7">
      <c r="F8" s="2"/>
    </row>
    <row r="9" spans="1:7">
      <c r="C9"/>
    </row>
    <row r="10" spans="1:7">
      <c r="B10" s="121" t="s">
        <v>98</v>
      </c>
      <c r="C10" s="155"/>
      <c r="D10" s="82"/>
    </row>
    <row r="11" spans="1:7">
      <c r="B11" s="934" t="s">
        <v>99</v>
      </c>
      <c r="C11" s="934" t="s">
        <v>204</v>
      </c>
      <c r="D11" s="937" t="s">
        <v>584</v>
      </c>
      <c r="E11" s="938" t="s">
        <v>585</v>
      </c>
    </row>
    <row r="12" spans="1:7">
      <c r="B12" s="935"/>
      <c r="C12" s="936"/>
      <c r="D12" s="935"/>
      <c r="E12" s="939"/>
    </row>
    <row r="13" spans="1:7">
      <c r="A13" s="891"/>
      <c r="B13" s="888" t="s">
        <v>100</v>
      </c>
      <c r="C13" s="243" t="s">
        <v>586</v>
      </c>
      <c r="D13" s="370">
        <v>1.2999999999999999E-2</v>
      </c>
      <c r="E13" s="486">
        <v>2.06E-2</v>
      </c>
      <c r="G13" s="39"/>
    </row>
    <row r="14" spans="1:7">
      <c r="A14" s="892"/>
      <c r="B14" s="888" t="s">
        <v>753</v>
      </c>
      <c r="C14" s="371" t="s">
        <v>708</v>
      </c>
      <c r="D14" s="370">
        <v>3.3799999999999997E-2</v>
      </c>
      <c r="E14" s="486">
        <v>2.06E-2</v>
      </c>
      <c r="G14" s="39"/>
    </row>
    <row r="15" spans="1:7">
      <c r="A15" s="892"/>
      <c r="B15" s="888" t="s">
        <v>753</v>
      </c>
      <c r="C15" s="371" t="s">
        <v>709</v>
      </c>
      <c r="D15" s="370">
        <v>2.7709999999999999E-2</v>
      </c>
      <c r="E15" s="486">
        <v>2.06E-2</v>
      </c>
      <c r="G15" s="39"/>
    </row>
    <row r="16" spans="1:7">
      <c r="A16" s="892"/>
      <c r="B16" s="888" t="s">
        <v>719</v>
      </c>
      <c r="C16" s="371">
        <v>370.1</v>
      </c>
      <c r="D16" s="486">
        <v>0.1</v>
      </c>
      <c r="E16" s="486">
        <v>2.06E-2</v>
      </c>
      <c r="G16" s="39"/>
    </row>
    <row r="17" spans="1:7">
      <c r="A17" s="891"/>
      <c r="B17" s="889" t="s">
        <v>101</v>
      </c>
      <c r="C17" s="244"/>
      <c r="D17" s="486">
        <v>1.8E-3</v>
      </c>
      <c r="E17" s="486">
        <v>7.3000000000000001E-3</v>
      </c>
      <c r="G17" s="39"/>
    </row>
    <row r="18" spans="1:7">
      <c r="A18" s="891"/>
      <c r="B18" s="889" t="s">
        <v>303</v>
      </c>
      <c r="C18" s="244" t="s">
        <v>710</v>
      </c>
      <c r="D18" s="486">
        <v>1.2999999999999999E-2</v>
      </c>
      <c r="E18" s="486">
        <v>1.6799999999999999E-2</v>
      </c>
      <c r="G18" s="39"/>
    </row>
    <row r="19" spans="1:7">
      <c r="A19" s="891"/>
      <c r="B19" s="889" t="s">
        <v>720</v>
      </c>
      <c r="C19" s="244">
        <v>390</v>
      </c>
      <c r="D19" s="486">
        <v>0.1</v>
      </c>
      <c r="E19" s="486">
        <v>2.5000000000000001E-2</v>
      </c>
      <c r="F19" s="372"/>
      <c r="G19" s="39"/>
    </row>
    <row r="20" spans="1:7">
      <c r="A20" s="892"/>
      <c r="B20" s="890" t="s">
        <v>332</v>
      </c>
      <c r="C20" s="373" t="s">
        <v>711</v>
      </c>
      <c r="D20" s="370">
        <v>0.05</v>
      </c>
      <c r="E20" s="486">
        <v>6.6699999999999995E-2</v>
      </c>
      <c r="G20" s="39"/>
    </row>
    <row r="21" spans="1:7">
      <c r="A21" s="891"/>
      <c r="B21" s="890" t="s">
        <v>707</v>
      </c>
      <c r="C21" s="244">
        <v>391.1</v>
      </c>
      <c r="D21" s="370">
        <v>0.2</v>
      </c>
      <c r="E21" s="486">
        <v>0.2</v>
      </c>
      <c r="G21" s="39"/>
    </row>
    <row r="22" spans="1:7">
      <c r="A22" s="891"/>
      <c r="B22" s="890" t="s">
        <v>721</v>
      </c>
      <c r="C22" s="244">
        <v>391.2</v>
      </c>
      <c r="D22" s="370">
        <v>0.1</v>
      </c>
      <c r="E22" s="486">
        <v>0</v>
      </c>
      <c r="G22" s="39"/>
    </row>
    <row r="23" spans="1:7">
      <c r="A23" s="891"/>
      <c r="B23" s="889" t="s">
        <v>722</v>
      </c>
      <c r="C23" s="244">
        <v>392</v>
      </c>
      <c r="D23" s="370">
        <v>0.14285999999999999</v>
      </c>
      <c r="E23" s="486">
        <v>0.1</v>
      </c>
      <c r="G23" s="39"/>
    </row>
    <row r="24" spans="1:7">
      <c r="A24" s="891"/>
      <c r="B24" s="889" t="s">
        <v>335</v>
      </c>
      <c r="C24" s="244">
        <v>394</v>
      </c>
      <c r="D24" s="370">
        <v>3.3329999999999999E-2</v>
      </c>
      <c r="E24" s="486">
        <v>6.6699999999999995E-2</v>
      </c>
      <c r="G24" s="39"/>
    </row>
    <row r="25" spans="1:7">
      <c r="A25" s="891"/>
      <c r="B25" s="889" t="s">
        <v>588</v>
      </c>
      <c r="C25" s="244">
        <v>397</v>
      </c>
      <c r="D25" s="370">
        <v>3.3329999999999999E-2</v>
      </c>
      <c r="E25" s="486">
        <v>0.1002</v>
      </c>
      <c r="G25" s="39"/>
    </row>
    <row r="26" spans="1:7">
      <c r="B26" s="121"/>
      <c r="C26" s="155"/>
      <c r="D26" s="126"/>
    </row>
    <row r="27" spans="1:7">
      <c r="B27" s="121"/>
      <c r="C27" s="155"/>
      <c r="D27" s="126"/>
    </row>
    <row r="28" spans="1:7">
      <c r="B28" s="121"/>
      <c r="C28" s="155"/>
      <c r="D28" s="126"/>
    </row>
    <row r="29" spans="1:7">
      <c r="B29" s="121" t="s">
        <v>723</v>
      </c>
      <c r="C29" s="155"/>
      <c r="D29" s="126"/>
    </row>
    <row r="30" spans="1:7">
      <c r="B30" s="121"/>
      <c r="C30" s="155"/>
      <c r="D30" s="126"/>
    </row>
    <row r="31" spans="1:7">
      <c r="B31" s="156"/>
      <c r="C31" s="157"/>
      <c r="D31" s="158"/>
    </row>
    <row r="32" spans="1:7">
      <c r="B32" s="143"/>
      <c r="C32"/>
    </row>
    <row r="33" spans="2:4">
      <c r="B33" s="32"/>
      <c r="C33"/>
    </row>
    <row r="34" spans="2:4">
      <c r="B34" s="28"/>
      <c r="C34"/>
    </row>
    <row r="35" spans="2:4">
      <c r="B35" s="28"/>
      <c r="C35"/>
    </row>
    <row r="36" spans="2:4">
      <c r="B36" s="28"/>
      <c r="C36"/>
    </row>
    <row r="37" spans="2:4">
      <c r="B37" s="30"/>
      <c r="C37"/>
    </row>
    <row r="38" spans="2:4">
      <c r="B38" s="30"/>
      <c r="C38"/>
    </row>
    <row r="39" spans="2:4">
      <c r="B39" s="30"/>
      <c r="C39"/>
    </row>
    <row r="40" spans="2:4">
      <c r="B40" s="30"/>
      <c r="C40"/>
    </row>
    <row r="41" spans="2:4">
      <c r="B41" s="30"/>
      <c r="C41"/>
    </row>
    <row r="42" spans="2:4">
      <c r="B42" s="28"/>
      <c r="D42" s="5"/>
    </row>
    <row r="43" spans="2:4">
      <c r="B43" s="30"/>
      <c r="D43" s="5"/>
    </row>
    <row r="44" spans="2:4">
      <c r="B44" s="30"/>
      <c r="D44" s="5"/>
    </row>
    <row r="45" spans="2:4">
      <c r="B45" s="30"/>
      <c r="D45" s="5"/>
    </row>
    <row r="46" spans="2:4">
      <c r="B46" s="30"/>
      <c r="D46" s="5"/>
    </row>
    <row r="47" spans="2:4">
      <c r="B47" s="28"/>
      <c r="D47" s="5"/>
    </row>
    <row r="48" spans="2:4">
      <c r="B48" s="30"/>
      <c r="D48" s="5"/>
    </row>
    <row r="49" spans="2:4">
      <c r="B49" s="28"/>
      <c r="D49" s="5"/>
    </row>
    <row r="50" spans="2:4">
      <c r="B50" s="28"/>
      <c r="D50" s="5"/>
    </row>
    <row r="51" spans="2:4">
      <c r="B51" s="28"/>
      <c r="D51" s="5"/>
    </row>
    <row r="52" spans="2:4">
      <c r="B52" s="30"/>
      <c r="D52" s="5"/>
    </row>
    <row r="53" spans="2:4">
      <c r="B53" s="30"/>
      <c r="D53" s="5"/>
    </row>
    <row r="54" spans="2:4">
      <c r="B54" s="30"/>
      <c r="D54" s="5"/>
    </row>
    <row r="55" spans="2:4">
      <c r="B55" s="30"/>
      <c r="D55" s="5"/>
    </row>
    <row r="56" spans="2:4">
      <c r="B56" s="31"/>
      <c r="D56" s="5"/>
    </row>
    <row r="57" spans="2:4" ht="15.75">
      <c r="B57" s="25"/>
      <c r="D57" s="5"/>
    </row>
    <row r="58" spans="2:4">
      <c r="D58" s="5"/>
    </row>
    <row r="59" spans="2:4">
      <c r="D59" s="5"/>
    </row>
    <row r="60" spans="2:4">
      <c r="D60" s="5"/>
    </row>
    <row r="61" spans="2:4">
      <c r="D61" s="5"/>
    </row>
    <row r="62" spans="2:4">
      <c r="D62" s="5"/>
    </row>
    <row r="63" spans="2:4">
      <c r="D63" s="5"/>
    </row>
    <row r="64" spans="2:4">
      <c r="D64" s="5"/>
    </row>
    <row r="65" spans="4:4">
      <c r="D65" s="5"/>
    </row>
    <row r="66" spans="4:4">
      <c r="D66" s="5"/>
    </row>
    <row r="67" spans="4:4">
      <c r="D67" s="5"/>
    </row>
    <row r="68" spans="4:4">
      <c r="D68" s="5"/>
    </row>
    <row r="69" spans="4:4">
      <c r="D69" s="5"/>
    </row>
    <row r="70" spans="4:4">
      <c r="D70" s="5"/>
    </row>
    <row r="71" spans="4:4">
      <c r="D71" s="5"/>
    </row>
    <row r="72" spans="4:4">
      <c r="D72" s="5"/>
    </row>
    <row r="73" spans="4:4">
      <c r="D73" s="5"/>
    </row>
    <row r="74" spans="4:4">
      <c r="D74" s="5"/>
    </row>
    <row r="75" spans="4:4">
      <c r="D75" s="5"/>
    </row>
    <row r="76" spans="4:4">
      <c r="D76" s="5"/>
    </row>
    <row r="77" spans="4:4">
      <c r="D77" s="5"/>
    </row>
    <row r="78" spans="4:4">
      <c r="D78" s="5"/>
    </row>
    <row r="79" spans="4:4">
      <c r="D79" s="5"/>
    </row>
    <row r="80" spans="4:4">
      <c r="D80" s="5"/>
    </row>
    <row r="81" spans="4:4">
      <c r="D81" s="5"/>
    </row>
    <row r="82" spans="4:4">
      <c r="D82" s="5"/>
    </row>
    <row r="83" spans="4:4">
      <c r="D83" s="5"/>
    </row>
    <row r="84" spans="4:4">
      <c r="D84" s="5"/>
    </row>
    <row r="85" spans="4:4">
      <c r="D85" s="5"/>
    </row>
    <row r="86" spans="4:4">
      <c r="D86" s="5"/>
    </row>
    <row r="87" spans="4:4">
      <c r="D87" s="5"/>
    </row>
    <row r="88" spans="4:4">
      <c r="D88" s="5"/>
    </row>
    <row r="89" spans="4:4">
      <c r="D89" s="5"/>
    </row>
    <row r="90" spans="4:4">
      <c r="D90" s="5"/>
    </row>
    <row r="91" spans="4:4">
      <c r="D91" s="5"/>
    </row>
    <row r="92" spans="4:4">
      <c r="D92" s="5"/>
    </row>
    <row r="93" spans="4:4">
      <c r="D93" s="5"/>
    </row>
    <row r="94" spans="4:4">
      <c r="D94" s="5"/>
    </row>
    <row r="95" spans="4:4">
      <c r="D95" s="5"/>
    </row>
    <row r="96" spans="4:4">
      <c r="D96" s="5"/>
    </row>
    <row r="97" spans="4:4">
      <c r="D97" s="5"/>
    </row>
    <row r="98" spans="4:4">
      <c r="D98" s="5"/>
    </row>
    <row r="99" spans="4:4">
      <c r="D99" s="5"/>
    </row>
    <row r="100" spans="4:4">
      <c r="D100" s="5"/>
    </row>
    <row r="101" spans="4:4">
      <c r="D101" s="5"/>
    </row>
    <row r="102" spans="4:4">
      <c r="D102" s="5"/>
    </row>
    <row r="103" spans="4:4">
      <c r="D103" s="5"/>
    </row>
    <row r="104" spans="4:4">
      <c r="D104" s="5"/>
    </row>
    <row r="105" spans="4:4">
      <c r="D105" s="5"/>
    </row>
    <row r="106" spans="4:4">
      <c r="D106" s="5"/>
    </row>
    <row r="107" spans="4:4">
      <c r="D107" s="5"/>
    </row>
    <row r="108" spans="4:4">
      <c r="D108" s="5"/>
    </row>
    <row r="109" spans="4:4">
      <c r="D109" s="5"/>
    </row>
    <row r="110" spans="4:4">
      <c r="D110" s="5"/>
    </row>
    <row r="111" spans="4:4">
      <c r="D111" s="5"/>
    </row>
    <row r="112" spans="4:4">
      <c r="D112" s="5"/>
    </row>
    <row r="113" spans="4:4">
      <c r="D113" s="5"/>
    </row>
    <row r="114" spans="4:4">
      <c r="D114" s="5"/>
    </row>
    <row r="115" spans="4:4">
      <c r="D115" s="5"/>
    </row>
    <row r="116" spans="4:4">
      <c r="D116" s="5"/>
    </row>
    <row r="117" spans="4:4">
      <c r="D117" s="5"/>
    </row>
    <row r="118" spans="4:4">
      <c r="D118" s="5"/>
    </row>
    <row r="119" spans="4:4">
      <c r="D119" s="5"/>
    </row>
    <row r="120" spans="4:4">
      <c r="D120" s="5"/>
    </row>
    <row r="121" spans="4:4">
      <c r="D121" s="5"/>
    </row>
    <row r="122" spans="4:4">
      <c r="D122" s="5"/>
    </row>
    <row r="123" spans="4:4">
      <c r="D123" s="5"/>
    </row>
    <row r="124" spans="4:4">
      <c r="D124" s="5"/>
    </row>
    <row r="125" spans="4:4">
      <c r="D125" s="5"/>
    </row>
    <row r="126" spans="4:4">
      <c r="D126" s="5"/>
    </row>
    <row r="127" spans="4:4">
      <c r="D127" s="5"/>
    </row>
    <row r="128" spans="4:4">
      <c r="D128" s="5"/>
    </row>
    <row r="129" spans="4:4">
      <c r="D129" s="5"/>
    </row>
    <row r="130" spans="4:4">
      <c r="D130" s="5"/>
    </row>
    <row r="131" spans="4:4">
      <c r="D131" s="5"/>
    </row>
    <row r="132" spans="4:4">
      <c r="D132" s="5"/>
    </row>
    <row r="133" spans="4:4">
      <c r="D133" s="5"/>
    </row>
    <row r="134" spans="4:4">
      <c r="D134" s="5"/>
    </row>
    <row r="135" spans="4:4">
      <c r="D135" s="5"/>
    </row>
    <row r="136" spans="4:4">
      <c r="D136" s="5"/>
    </row>
    <row r="137" spans="4:4">
      <c r="D137" s="5"/>
    </row>
    <row r="138" spans="4:4">
      <c r="D138" s="5"/>
    </row>
    <row r="139" spans="4:4">
      <c r="D139" s="5"/>
    </row>
    <row r="140" spans="4:4">
      <c r="D140" s="5"/>
    </row>
    <row r="141" spans="4:4">
      <c r="D141" s="5"/>
    </row>
    <row r="142" spans="4:4">
      <c r="D142" s="5"/>
    </row>
    <row r="143" spans="4:4">
      <c r="D143" s="5"/>
    </row>
    <row r="144" spans="4:4">
      <c r="D144" s="5"/>
    </row>
    <row r="145" spans="4:4">
      <c r="D145" s="5"/>
    </row>
    <row r="146" spans="4:4">
      <c r="D146" s="5"/>
    </row>
    <row r="147" spans="4:4">
      <c r="D147" s="5"/>
    </row>
    <row r="148" spans="4:4">
      <c r="D148" s="5"/>
    </row>
    <row r="149" spans="4:4">
      <c r="D149" s="5"/>
    </row>
    <row r="150" spans="4:4">
      <c r="D150" s="5"/>
    </row>
    <row r="151" spans="4:4">
      <c r="D151" s="5"/>
    </row>
    <row r="152" spans="4:4">
      <c r="D152" s="5"/>
    </row>
    <row r="153" spans="4:4">
      <c r="D153" s="5"/>
    </row>
    <row r="154" spans="4:4">
      <c r="D154" s="5"/>
    </row>
    <row r="155" spans="4:4">
      <c r="D155" s="5"/>
    </row>
    <row r="156" spans="4:4">
      <c r="D156" s="5"/>
    </row>
    <row r="157" spans="4:4">
      <c r="D157" s="5"/>
    </row>
    <row r="158" spans="4:4">
      <c r="D158" s="5"/>
    </row>
    <row r="159" spans="4:4">
      <c r="D159" s="5"/>
    </row>
    <row r="160" spans="4:4">
      <c r="D160" s="5"/>
    </row>
    <row r="161" spans="4:4">
      <c r="D161" s="5"/>
    </row>
    <row r="162" spans="4:4">
      <c r="D162" s="5"/>
    </row>
    <row r="163" spans="4:4">
      <c r="D163" s="5"/>
    </row>
    <row r="164" spans="4:4">
      <c r="D164" s="5"/>
    </row>
    <row r="165" spans="4:4">
      <c r="D165" s="5"/>
    </row>
    <row r="166" spans="4:4">
      <c r="D166" s="5"/>
    </row>
    <row r="167" spans="4:4">
      <c r="D167" s="5"/>
    </row>
    <row r="168" spans="4:4">
      <c r="D168" s="5"/>
    </row>
    <row r="169" spans="4:4">
      <c r="D169" s="5"/>
    </row>
    <row r="170" spans="4:4">
      <c r="D170" s="5"/>
    </row>
    <row r="171" spans="4:4">
      <c r="D171" s="5"/>
    </row>
    <row r="172" spans="4:4">
      <c r="D172" s="5"/>
    </row>
    <row r="173" spans="4:4">
      <c r="D173" s="5"/>
    </row>
    <row r="174" spans="4:4">
      <c r="D174" s="5"/>
    </row>
    <row r="175" spans="4:4">
      <c r="D175" s="5"/>
    </row>
    <row r="176" spans="4:4">
      <c r="D176" s="5"/>
    </row>
    <row r="177" spans="4:4">
      <c r="D177" s="5"/>
    </row>
    <row r="178" spans="4:4">
      <c r="D178" s="5"/>
    </row>
    <row r="179" spans="4:4">
      <c r="D179" s="5"/>
    </row>
    <row r="180" spans="4:4">
      <c r="D180" s="5"/>
    </row>
    <row r="181" spans="4:4">
      <c r="D181" s="5"/>
    </row>
    <row r="182" spans="4:4">
      <c r="D182" s="5"/>
    </row>
    <row r="183" spans="4:4">
      <c r="D183" s="5"/>
    </row>
    <row r="184" spans="4:4">
      <c r="D184" s="5"/>
    </row>
    <row r="185" spans="4:4">
      <c r="D185" s="5"/>
    </row>
    <row r="186" spans="4:4">
      <c r="D186" s="5"/>
    </row>
    <row r="187" spans="4:4">
      <c r="D187" s="5"/>
    </row>
    <row r="188" spans="4:4">
      <c r="D188" s="5"/>
    </row>
    <row r="189" spans="4:4">
      <c r="D189" s="5"/>
    </row>
    <row r="190" spans="4:4">
      <c r="D190" s="5"/>
    </row>
    <row r="191" spans="4:4">
      <c r="D191" s="5"/>
    </row>
    <row r="192" spans="4:4">
      <c r="D192" s="5"/>
    </row>
    <row r="193" spans="4:4">
      <c r="D193" s="5"/>
    </row>
    <row r="194" spans="4:4">
      <c r="D194" s="5"/>
    </row>
    <row r="195" spans="4:4">
      <c r="D195" s="5"/>
    </row>
    <row r="196" spans="4:4">
      <c r="D196" s="5"/>
    </row>
    <row r="197" spans="4:4">
      <c r="D197" s="5"/>
    </row>
    <row r="198" spans="4:4">
      <c r="D198" s="5"/>
    </row>
    <row r="199" spans="4:4">
      <c r="D199" s="5"/>
    </row>
    <row r="200" spans="4:4">
      <c r="D200" s="5"/>
    </row>
    <row r="201" spans="4:4">
      <c r="D201" s="5"/>
    </row>
    <row r="202" spans="4:4">
      <c r="D202" s="5"/>
    </row>
    <row r="203" spans="4:4">
      <c r="D203" s="5"/>
    </row>
    <row r="204" spans="4:4">
      <c r="D204" s="5"/>
    </row>
    <row r="205" spans="4:4">
      <c r="D205" s="5"/>
    </row>
    <row r="206" spans="4:4">
      <c r="D206" s="5"/>
    </row>
    <row r="207" spans="4:4">
      <c r="D207" s="5"/>
    </row>
    <row r="208" spans="4:4">
      <c r="D208" s="5"/>
    </row>
    <row r="209" spans="4:4">
      <c r="D209" s="5"/>
    </row>
    <row r="210" spans="4:4">
      <c r="D210" s="5"/>
    </row>
    <row r="211" spans="4:4">
      <c r="D211" s="5"/>
    </row>
    <row r="212" spans="4:4">
      <c r="D212" s="5"/>
    </row>
    <row r="213" spans="4:4">
      <c r="D213" s="5"/>
    </row>
    <row r="214" spans="4:4">
      <c r="D214" s="5"/>
    </row>
    <row r="215" spans="4:4">
      <c r="D215" s="5"/>
    </row>
    <row r="216" spans="4:4">
      <c r="D216" s="5"/>
    </row>
    <row r="217" spans="4:4">
      <c r="D217" s="5"/>
    </row>
    <row r="218" spans="4:4">
      <c r="D218" s="5"/>
    </row>
    <row r="219" spans="4:4">
      <c r="D219" s="5"/>
    </row>
    <row r="220" spans="4:4">
      <c r="D220" s="5"/>
    </row>
    <row r="221" spans="4:4">
      <c r="D221" s="5"/>
    </row>
    <row r="222" spans="4:4">
      <c r="D222" s="5"/>
    </row>
    <row r="223" spans="4:4">
      <c r="D223" s="5"/>
    </row>
    <row r="224" spans="4:4">
      <c r="D224" s="5"/>
    </row>
    <row r="225" spans="4:4">
      <c r="D225" s="5"/>
    </row>
    <row r="226" spans="4:4">
      <c r="D226" s="5"/>
    </row>
    <row r="227" spans="4:4">
      <c r="D227" s="5"/>
    </row>
    <row r="228" spans="4:4">
      <c r="D228" s="5"/>
    </row>
    <row r="229" spans="4:4">
      <c r="D229" s="5"/>
    </row>
    <row r="230" spans="4:4">
      <c r="D230" s="5"/>
    </row>
    <row r="231" spans="4:4">
      <c r="D231" s="5"/>
    </row>
    <row r="232" spans="4:4">
      <c r="D232" s="5"/>
    </row>
    <row r="233" spans="4:4">
      <c r="D233" s="5"/>
    </row>
    <row r="234" spans="4:4">
      <c r="D234" s="5"/>
    </row>
    <row r="235" spans="4:4">
      <c r="D235" s="5"/>
    </row>
    <row r="236" spans="4:4">
      <c r="D236" s="5"/>
    </row>
    <row r="237" spans="4:4">
      <c r="D237" s="5"/>
    </row>
    <row r="238" spans="4:4">
      <c r="D238" s="5"/>
    </row>
    <row r="239" spans="4:4">
      <c r="D239" s="5"/>
    </row>
    <row r="240" spans="4:4">
      <c r="D240" s="5"/>
    </row>
    <row r="241" spans="4:4">
      <c r="D241" s="5"/>
    </row>
    <row r="242" spans="4:4">
      <c r="D242" s="5"/>
    </row>
    <row r="243" spans="4:4">
      <c r="D243" s="5"/>
    </row>
    <row r="244" spans="4:4">
      <c r="D244" s="5"/>
    </row>
    <row r="245" spans="4:4">
      <c r="D245" s="5"/>
    </row>
    <row r="246" spans="4:4">
      <c r="D246" s="5"/>
    </row>
    <row r="247" spans="4:4">
      <c r="D247" s="5"/>
    </row>
    <row r="248" spans="4:4">
      <c r="D248" s="5"/>
    </row>
    <row r="249" spans="4:4">
      <c r="D249" s="5"/>
    </row>
    <row r="250" spans="4:4">
      <c r="D250" s="5"/>
    </row>
    <row r="251" spans="4:4">
      <c r="D251" s="5"/>
    </row>
    <row r="252" spans="4:4">
      <c r="D252" s="5"/>
    </row>
    <row r="253" spans="4:4">
      <c r="D253" s="5"/>
    </row>
    <row r="254" spans="4:4">
      <c r="D254" s="5"/>
    </row>
    <row r="255" spans="4:4">
      <c r="D255" s="5"/>
    </row>
    <row r="256" spans="4:4">
      <c r="D256" s="5"/>
    </row>
    <row r="257" spans="4:4">
      <c r="D257" s="5"/>
    </row>
    <row r="258" spans="4:4">
      <c r="D258" s="5"/>
    </row>
    <row r="259" spans="4:4">
      <c r="D259" s="5"/>
    </row>
    <row r="260" spans="4:4">
      <c r="D260" s="5"/>
    </row>
    <row r="261" spans="4:4">
      <c r="D261" s="5"/>
    </row>
    <row r="262" spans="4:4">
      <c r="D262" s="5"/>
    </row>
    <row r="263" spans="4:4">
      <c r="D263" s="5"/>
    </row>
    <row r="264" spans="4:4">
      <c r="D264" s="5"/>
    </row>
    <row r="265" spans="4:4">
      <c r="D265" s="5"/>
    </row>
    <row r="266" spans="4:4">
      <c r="D266" s="5"/>
    </row>
    <row r="267" spans="4:4">
      <c r="D267" s="5"/>
    </row>
    <row r="268" spans="4:4">
      <c r="D268" s="5"/>
    </row>
    <row r="269" spans="4:4">
      <c r="D269" s="5"/>
    </row>
    <row r="270" spans="4:4">
      <c r="D270" s="5"/>
    </row>
    <row r="271" spans="4:4">
      <c r="D271" s="5"/>
    </row>
    <row r="272" spans="4:4">
      <c r="D272" s="5"/>
    </row>
    <row r="273" spans="4:4">
      <c r="D273" s="5"/>
    </row>
    <row r="274" spans="4:4">
      <c r="D274" s="5"/>
    </row>
    <row r="275" spans="4:4">
      <c r="D275" s="5"/>
    </row>
    <row r="276" spans="4:4">
      <c r="D276" s="5"/>
    </row>
    <row r="277" spans="4:4">
      <c r="D277" s="5"/>
    </row>
    <row r="278" spans="4:4">
      <c r="D278" s="5"/>
    </row>
    <row r="279" spans="4:4">
      <c r="D279" s="5"/>
    </row>
    <row r="280" spans="4:4">
      <c r="D280" s="5"/>
    </row>
    <row r="281" spans="4:4">
      <c r="D281" s="5"/>
    </row>
    <row r="282" spans="4:4">
      <c r="D282" s="5"/>
    </row>
    <row r="283" spans="4:4">
      <c r="D283" s="5"/>
    </row>
    <row r="284" spans="4:4">
      <c r="D284" s="5"/>
    </row>
    <row r="285" spans="4:4">
      <c r="D285" s="5"/>
    </row>
    <row r="286" spans="4:4">
      <c r="D286" s="5"/>
    </row>
    <row r="287" spans="4:4">
      <c r="D287" s="5"/>
    </row>
    <row r="288" spans="4:4">
      <c r="D288" s="5"/>
    </row>
    <row r="289" spans="4:4">
      <c r="D289" s="5"/>
    </row>
    <row r="290" spans="4:4">
      <c r="D290" s="5"/>
    </row>
    <row r="291" spans="4:4">
      <c r="D291" s="5"/>
    </row>
    <row r="292" spans="4:4">
      <c r="D292" s="5"/>
    </row>
    <row r="293" spans="4:4">
      <c r="D293" s="5"/>
    </row>
    <row r="294" spans="4:4">
      <c r="D294" s="5"/>
    </row>
    <row r="295" spans="4:4">
      <c r="D295" s="5"/>
    </row>
    <row r="296" spans="4:4">
      <c r="D296" s="5"/>
    </row>
    <row r="297" spans="4:4">
      <c r="D297" s="5"/>
    </row>
    <row r="298" spans="4:4">
      <c r="D298" s="5"/>
    </row>
    <row r="299" spans="4:4">
      <c r="D299" s="5"/>
    </row>
    <row r="300" spans="4:4">
      <c r="D300" s="5"/>
    </row>
    <row r="301" spans="4:4">
      <c r="D301" s="5"/>
    </row>
    <row r="302" spans="4:4">
      <c r="D302" s="5"/>
    </row>
    <row r="303" spans="4:4">
      <c r="D303" s="5"/>
    </row>
    <row r="304" spans="4:4">
      <c r="D304" s="5"/>
    </row>
    <row r="305" spans="4:4">
      <c r="D305" s="5"/>
    </row>
    <row r="306" spans="4:4">
      <c r="D306" s="5"/>
    </row>
    <row r="307" spans="4:4">
      <c r="D307" s="5"/>
    </row>
    <row r="308" spans="4:4">
      <c r="D308" s="5"/>
    </row>
    <row r="309" spans="4:4">
      <c r="D309" s="5"/>
    </row>
    <row r="310" spans="4:4">
      <c r="D310" s="5"/>
    </row>
    <row r="311" spans="4:4">
      <c r="D311" s="5"/>
    </row>
    <row r="312" spans="4:4">
      <c r="D312" s="5"/>
    </row>
    <row r="313" spans="4:4">
      <c r="D313" s="5"/>
    </row>
    <row r="314" spans="4:4">
      <c r="D314" s="5"/>
    </row>
    <row r="315" spans="4:4">
      <c r="D315" s="5"/>
    </row>
    <row r="316" spans="4:4">
      <c r="D316" s="5"/>
    </row>
    <row r="317" spans="4:4">
      <c r="D317" s="5"/>
    </row>
    <row r="318" spans="4:4">
      <c r="D318" s="5"/>
    </row>
    <row r="319" spans="4:4">
      <c r="D319" s="5"/>
    </row>
    <row r="320" spans="4:4">
      <c r="D320" s="5"/>
    </row>
    <row r="321" spans="4:4">
      <c r="D321" s="5"/>
    </row>
    <row r="322" spans="4:4">
      <c r="D322" s="5"/>
    </row>
    <row r="323" spans="4:4">
      <c r="D323" s="5"/>
    </row>
    <row r="324" spans="4:4">
      <c r="D324" s="5"/>
    </row>
    <row r="325" spans="4:4">
      <c r="D325" s="5"/>
    </row>
    <row r="326" spans="4:4">
      <c r="D326" s="5"/>
    </row>
    <row r="327" spans="4:4">
      <c r="D327" s="5"/>
    </row>
    <row r="328" spans="4:4">
      <c r="D328" s="5"/>
    </row>
    <row r="329" spans="4:4">
      <c r="D329" s="5"/>
    </row>
    <row r="330" spans="4:4">
      <c r="D330" s="5"/>
    </row>
    <row r="331" spans="4:4">
      <c r="D331" s="5"/>
    </row>
    <row r="332" spans="4:4">
      <c r="D332" s="5"/>
    </row>
    <row r="333" spans="4:4">
      <c r="D333" s="5"/>
    </row>
    <row r="334" spans="4:4">
      <c r="D334" s="5"/>
    </row>
    <row r="335" spans="4:4">
      <c r="D335" s="5"/>
    </row>
    <row r="336" spans="4:4">
      <c r="D336" s="5"/>
    </row>
    <row r="337" spans="4:4">
      <c r="D337" s="5"/>
    </row>
    <row r="338" spans="4:4">
      <c r="D338" s="5"/>
    </row>
    <row r="339" spans="4:4">
      <c r="D339" s="5"/>
    </row>
    <row r="340" spans="4:4">
      <c r="D340" s="5"/>
    </row>
    <row r="341" spans="4:4">
      <c r="D341" s="5"/>
    </row>
    <row r="342" spans="4:4">
      <c r="D342" s="5"/>
    </row>
    <row r="343" spans="4:4">
      <c r="D343" s="5"/>
    </row>
    <row r="344" spans="4:4">
      <c r="D344" s="5"/>
    </row>
    <row r="345" spans="4:4">
      <c r="D345" s="5"/>
    </row>
    <row r="346" spans="4:4">
      <c r="D346" s="5"/>
    </row>
    <row r="347" spans="4:4">
      <c r="D347" s="5"/>
    </row>
    <row r="348" spans="4:4">
      <c r="D348" s="5"/>
    </row>
    <row r="349" spans="4:4">
      <c r="D349" s="5"/>
    </row>
    <row r="350" spans="4:4">
      <c r="D350" s="5"/>
    </row>
    <row r="351" spans="4:4">
      <c r="D351" s="5"/>
    </row>
    <row r="352" spans="4:4">
      <c r="D352" s="5"/>
    </row>
    <row r="353" spans="4:4">
      <c r="D353" s="5"/>
    </row>
    <row r="354" spans="4:4">
      <c r="D354" s="5"/>
    </row>
    <row r="355" spans="4:4">
      <c r="D355" s="5"/>
    </row>
    <row r="356" spans="4:4">
      <c r="D356" s="5"/>
    </row>
    <row r="357" spans="4:4">
      <c r="D357" s="5"/>
    </row>
    <row r="358" spans="4:4">
      <c r="D358" s="5"/>
    </row>
    <row r="359" spans="4:4">
      <c r="D359" s="5"/>
    </row>
    <row r="360" spans="4:4">
      <c r="D360" s="5"/>
    </row>
    <row r="361" spans="4:4">
      <c r="D361" s="5"/>
    </row>
    <row r="362" spans="4:4">
      <c r="D362" s="5"/>
    </row>
    <row r="363" spans="4:4">
      <c r="D363" s="5"/>
    </row>
    <row r="364" spans="4:4">
      <c r="D364" s="5"/>
    </row>
    <row r="365" spans="4:4">
      <c r="D365" s="5"/>
    </row>
    <row r="366" spans="4:4">
      <c r="D366" s="5"/>
    </row>
    <row r="367" spans="4:4">
      <c r="D367" s="5"/>
    </row>
    <row r="368" spans="4:4">
      <c r="D368" s="5"/>
    </row>
    <row r="369" spans="4:4">
      <c r="D369" s="5"/>
    </row>
    <row r="370" spans="4:4">
      <c r="D370" s="5"/>
    </row>
    <row r="371" spans="4:4">
      <c r="D371" s="5"/>
    </row>
    <row r="372" spans="4:4">
      <c r="D372" s="5"/>
    </row>
    <row r="373" spans="4:4">
      <c r="D373" s="5"/>
    </row>
    <row r="374" spans="4:4">
      <c r="D374" s="5"/>
    </row>
    <row r="375" spans="4:4">
      <c r="D375" s="5"/>
    </row>
    <row r="376" spans="4:4">
      <c r="D376" s="5"/>
    </row>
    <row r="377" spans="4:4">
      <c r="D377" s="5"/>
    </row>
    <row r="378" spans="4:4">
      <c r="D378" s="5"/>
    </row>
    <row r="379" spans="4:4">
      <c r="D379" s="5"/>
    </row>
    <row r="380" spans="4:4">
      <c r="D380" s="5"/>
    </row>
    <row r="381" spans="4:4">
      <c r="D381" s="5"/>
    </row>
    <row r="382" spans="4:4">
      <c r="D382" s="5"/>
    </row>
    <row r="383" spans="4:4">
      <c r="D383" s="5"/>
    </row>
    <row r="384" spans="4:4">
      <c r="D384" s="5"/>
    </row>
    <row r="385" spans="4:4">
      <c r="D385" s="5"/>
    </row>
    <row r="386" spans="4:4">
      <c r="D386" s="5"/>
    </row>
    <row r="387" spans="4:4">
      <c r="D387" s="5"/>
    </row>
    <row r="388" spans="4:4">
      <c r="D388" s="5"/>
    </row>
    <row r="389" spans="4:4">
      <c r="D389" s="5"/>
    </row>
    <row r="390" spans="4:4">
      <c r="D390" s="5"/>
    </row>
    <row r="391" spans="4:4">
      <c r="D391" s="5"/>
    </row>
    <row r="392" spans="4:4">
      <c r="D392" s="5"/>
    </row>
    <row r="393" spans="4:4">
      <c r="D393" s="5"/>
    </row>
    <row r="394" spans="4:4">
      <c r="D394" s="5"/>
    </row>
    <row r="395" spans="4:4">
      <c r="D395" s="5"/>
    </row>
    <row r="396" spans="4:4">
      <c r="D396" s="5"/>
    </row>
    <row r="397" spans="4:4">
      <c r="D397" s="5"/>
    </row>
    <row r="398" spans="4:4">
      <c r="D398" s="5"/>
    </row>
    <row r="399" spans="4:4">
      <c r="D399" s="5"/>
    </row>
    <row r="400" spans="4:4">
      <c r="D400" s="5"/>
    </row>
    <row r="401" spans="4:4">
      <c r="D401" s="5"/>
    </row>
    <row r="402" spans="4:4">
      <c r="D402" s="5"/>
    </row>
    <row r="403" spans="4:4">
      <c r="D403" s="5"/>
    </row>
    <row r="404" spans="4:4">
      <c r="D404" s="5"/>
    </row>
    <row r="405" spans="4:4">
      <c r="D405" s="5"/>
    </row>
    <row r="406" spans="4:4">
      <c r="D406" s="5"/>
    </row>
    <row r="407" spans="4:4">
      <c r="D407" s="5"/>
    </row>
    <row r="408" spans="4:4">
      <c r="D408" s="5"/>
    </row>
    <row r="409" spans="4:4">
      <c r="D409" s="5"/>
    </row>
  </sheetData>
  <mergeCells count="7">
    <mergeCell ref="A4:F4"/>
    <mergeCell ref="A5:F5"/>
    <mergeCell ref="A6:F6"/>
    <mergeCell ref="B11:B12"/>
    <mergeCell ref="C11:C12"/>
    <mergeCell ref="D11:D12"/>
    <mergeCell ref="E11:E12"/>
  </mergeCells>
  <phoneticPr fontId="5" type="noConversion"/>
  <pageMargins left="0.75" right="0.75" top="1" bottom="1" header="0.5" footer="0.5"/>
  <pageSetup scale="96" orientation="landscape" r:id="rId1"/>
  <headerFooter alignWithMargins="0"/>
  <ignoredErrors>
    <ignoredError sqref="C14:C15 C2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indexed="10"/>
    <pageSetUpPr fitToPage="1"/>
  </sheetPr>
  <dimension ref="A1:I386"/>
  <sheetViews>
    <sheetView workbookViewId="0">
      <selection activeCell="A4" sqref="A4:I4"/>
    </sheetView>
  </sheetViews>
  <sheetFormatPr defaultRowHeight="12.75"/>
  <cols>
    <col min="1" max="1" width="4.42578125" bestFit="1" customWidth="1"/>
    <col min="2" max="2" width="37.7109375" customWidth="1"/>
    <col min="3" max="3" width="17.42578125" style="16" bestFit="1" customWidth="1"/>
    <col min="4" max="4" width="17.5703125" bestFit="1" customWidth="1"/>
    <col min="5" max="5" width="16.5703125" bestFit="1" customWidth="1"/>
  </cols>
  <sheetData>
    <row r="1" spans="1:9">
      <c r="G1" t="str">
        <f>A!D1</f>
        <v>Docket No. RP16-299-000</v>
      </c>
    </row>
    <row r="2" spans="1:9">
      <c r="G2" t="s">
        <v>102</v>
      </c>
    </row>
    <row r="4" spans="1:9">
      <c r="A4" s="927" t="str">
        <f>'Sched D-1'!A4:F4</f>
        <v>Tuscarora Gas Transmission Company</v>
      </c>
      <c r="B4" s="927"/>
      <c r="C4" s="927"/>
      <c r="D4" s="927"/>
      <c r="E4" s="927"/>
      <c r="F4" s="927"/>
      <c r="G4" s="927"/>
      <c r="H4" s="927"/>
      <c r="I4" s="927"/>
    </row>
    <row r="5" spans="1:9">
      <c r="A5" s="927" t="s">
        <v>103</v>
      </c>
      <c r="B5" s="927"/>
      <c r="C5" s="927"/>
      <c r="D5" s="927"/>
      <c r="E5" s="927"/>
      <c r="F5" s="927"/>
      <c r="G5" s="927"/>
      <c r="H5" s="927"/>
      <c r="I5" s="927"/>
    </row>
    <row r="6" spans="1:9">
      <c r="A6" s="927" t="s">
        <v>104</v>
      </c>
      <c r="B6" s="927"/>
      <c r="C6" s="927"/>
      <c r="D6" s="927"/>
      <c r="E6" s="927"/>
      <c r="F6" s="927"/>
      <c r="G6" s="927"/>
      <c r="H6" s="927"/>
      <c r="I6" s="927"/>
    </row>
    <row r="7" spans="1:9">
      <c r="A7" s="927" t="s">
        <v>440</v>
      </c>
      <c r="B7" s="927"/>
      <c r="C7" s="927"/>
      <c r="D7" s="927"/>
      <c r="E7" s="927"/>
      <c r="F7" s="927"/>
      <c r="G7" s="927"/>
      <c r="H7" s="927"/>
      <c r="I7" s="927"/>
    </row>
    <row r="8" spans="1:9">
      <c r="F8" s="2"/>
    </row>
    <row r="9" spans="1:9">
      <c r="C9"/>
    </row>
    <row r="10" spans="1:9">
      <c r="B10" s="32"/>
      <c r="C10"/>
    </row>
    <row r="11" spans="1:9">
      <c r="B11" s="28"/>
      <c r="C11"/>
    </row>
    <row r="12" spans="1:9">
      <c r="B12" s="139" t="s">
        <v>450</v>
      </c>
      <c r="C12"/>
    </row>
    <row r="13" spans="1:9">
      <c r="B13" s="188" t="s">
        <v>1072</v>
      </c>
      <c r="C13"/>
    </row>
    <row r="14" spans="1:9">
      <c r="B14" s="30"/>
      <c r="C14"/>
    </row>
    <row r="15" spans="1:9">
      <c r="B15" s="30"/>
      <c r="C15"/>
    </row>
    <row r="16" spans="1:9">
      <c r="B16" s="30"/>
      <c r="C16"/>
    </row>
    <row r="17" spans="2:4">
      <c r="B17" s="30"/>
      <c r="C17"/>
    </row>
    <row r="18" spans="2:4">
      <c r="B18" s="30"/>
      <c r="C18"/>
    </row>
    <row r="19" spans="2:4">
      <c r="B19" s="28"/>
      <c r="D19" s="5"/>
    </row>
    <row r="20" spans="2:4">
      <c r="B20" s="30"/>
      <c r="D20" s="5"/>
    </row>
    <row r="21" spans="2:4">
      <c r="B21" s="30"/>
      <c r="D21" s="5"/>
    </row>
    <row r="22" spans="2:4">
      <c r="B22" s="30"/>
      <c r="D22" s="5"/>
    </row>
    <row r="23" spans="2:4">
      <c r="B23" s="30"/>
      <c r="D23" s="5"/>
    </row>
    <row r="24" spans="2:4">
      <c r="B24" s="28"/>
      <c r="D24" s="5"/>
    </row>
    <row r="25" spans="2:4">
      <c r="B25" s="30"/>
      <c r="D25" s="5"/>
    </row>
    <row r="26" spans="2:4">
      <c r="B26" s="28"/>
      <c r="D26" s="5"/>
    </row>
    <row r="27" spans="2:4">
      <c r="B27" s="28"/>
      <c r="D27" s="5"/>
    </row>
    <row r="28" spans="2:4">
      <c r="B28" s="28"/>
      <c r="D28" s="5"/>
    </row>
    <row r="29" spans="2:4">
      <c r="B29" s="30"/>
      <c r="D29" s="5"/>
    </row>
    <row r="30" spans="2:4">
      <c r="B30" s="30"/>
      <c r="D30" s="5"/>
    </row>
    <row r="31" spans="2:4">
      <c r="B31" s="30"/>
      <c r="D31" s="5"/>
    </row>
    <row r="32" spans="2:4">
      <c r="B32" s="30"/>
      <c r="D32" s="5"/>
    </row>
    <row r="33" spans="2:4">
      <c r="B33" s="31"/>
      <c r="D33" s="5"/>
    </row>
    <row r="34" spans="2:4" ht="15.75">
      <c r="B34" s="25"/>
      <c r="D34" s="5"/>
    </row>
    <row r="35" spans="2:4">
      <c r="D35" s="5"/>
    </row>
    <row r="36" spans="2:4">
      <c r="D36" s="5"/>
    </row>
    <row r="37" spans="2:4">
      <c r="D37" s="5"/>
    </row>
    <row r="38" spans="2:4">
      <c r="D38" s="5"/>
    </row>
    <row r="39" spans="2:4">
      <c r="D39" s="5"/>
    </row>
    <row r="40" spans="2:4">
      <c r="D40" s="5"/>
    </row>
    <row r="41" spans="2:4">
      <c r="D41" s="5"/>
    </row>
    <row r="42" spans="2:4">
      <c r="D42" s="5"/>
    </row>
    <row r="43" spans="2:4">
      <c r="D43" s="5"/>
    </row>
    <row r="44" spans="2:4">
      <c r="D44" s="5"/>
    </row>
    <row r="45" spans="2:4">
      <c r="D45" s="5"/>
    </row>
    <row r="46" spans="2:4">
      <c r="D46" s="5"/>
    </row>
    <row r="47" spans="2:4">
      <c r="D47" s="5"/>
    </row>
    <row r="48" spans="2:4">
      <c r="D48" s="5"/>
    </row>
    <row r="49" spans="4:4">
      <c r="D49" s="5"/>
    </row>
    <row r="50" spans="4:4">
      <c r="D50" s="5"/>
    </row>
    <row r="51" spans="4:4">
      <c r="D51" s="5"/>
    </row>
    <row r="52" spans="4:4">
      <c r="D52" s="5"/>
    </row>
    <row r="53" spans="4:4">
      <c r="D53" s="5"/>
    </row>
    <row r="54" spans="4:4">
      <c r="D54" s="5"/>
    </row>
    <row r="55" spans="4:4">
      <c r="D55" s="5"/>
    </row>
    <row r="56" spans="4:4">
      <c r="D56" s="5"/>
    </row>
    <row r="57" spans="4:4">
      <c r="D57" s="5"/>
    </row>
    <row r="58" spans="4:4">
      <c r="D58" s="5"/>
    </row>
    <row r="59" spans="4:4">
      <c r="D59" s="5"/>
    </row>
    <row r="60" spans="4:4">
      <c r="D60" s="5"/>
    </row>
    <row r="61" spans="4:4">
      <c r="D61" s="5"/>
    </row>
    <row r="62" spans="4:4">
      <c r="D62" s="5"/>
    </row>
    <row r="63" spans="4:4">
      <c r="D63" s="5"/>
    </row>
    <row r="64" spans="4:4">
      <c r="D64" s="5"/>
    </row>
    <row r="65" spans="4:4">
      <c r="D65" s="5"/>
    </row>
    <row r="66" spans="4:4">
      <c r="D66" s="5"/>
    </row>
    <row r="67" spans="4:4">
      <c r="D67" s="5"/>
    </row>
    <row r="68" spans="4:4">
      <c r="D68" s="5"/>
    </row>
    <row r="69" spans="4:4">
      <c r="D69" s="5"/>
    </row>
    <row r="70" spans="4:4">
      <c r="D70" s="5"/>
    </row>
    <row r="71" spans="4:4">
      <c r="D71" s="5"/>
    </row>
    <row r="72" spans="4:4">
      <c r="D72" s="5"/>
    </row>
    <row r="73" spans="4:4">
      <c r="D73" s="5"/>
    </row>
    <row r="74" spans="4:4">
      <c r="D74" s="5"/>
    </row>
    <row r="75" spans="4:4">
      <c r="D75" s="5"/>
    </row>
    <row r="76" spans="4:4">
      <c r="D76" s="5"/>
    </row>
    <row r="77" spans="4:4">
      <c r="D77" s="5"/>
    </row>
    <row r="78" spans="4:4">
      <c r="D78" s="5"/>
    </row>
    <row r="79" spans="4:4">
      <c r="D79" s="5"/>
    </row>
    <row r="80" spans="4:4">
      <c r="D80" s="5"/>
    </row>
    <row r="81" spans="4:4">
      <c r="D81" s="5"/>
    </row>
    <row r="82" spans="4:4">
      <c r="D82" s="5"/>
    </row>
    <row r="83" spans="4:4">
      <c r="D83" s="5"/>
    </row>
    <row r="84" spans="4:4">
      <c r="D84" s="5"/>
    </row>
    <row r="85" spans="4:4">
      <c r="D85" s="5"/>
    </row>
    <row r="86" spans="4:4">
      <c r="D86" s="5"/>
    </row>
    <row r="87" spans="4:4">
      <c r="D87" s="5"/>
    </row>
    <row r="88" spans="4:4">
      <c r="D88" s="5"/>
    </row>
    <row r="89" spans="4:4">
      <c r="D89" s="5"/>
    </row>
    <row r="90" spans="4:4">
      <c r="D90" s="5"/>
    </row>
    <row r="91" spans="4:4">
      <c r="D91" s="5"/>
    </row>
    <row r="92" spans="4:4">
      <c r="D92" s="5"/>
    </row>
    <row r="93" spans="4:4">
      <c r="D93" s="5"/>
    </row>
    <row r="94" spans="4:4">
      <c r="D94" s="5"/>
    </row>
    <row r="95" spans="4:4">
      <c r="D95" s="5"/>
    </row>
    <row r="96" spans="4:4">
      <c r="D96" s="5"/>
    </row>
    <row r="97" spans="4:4">
      <c r="D97" s="5"/>
    </row>
    <row r="98" spans="4:4">
      <c r="D98" s="5"/>
    </row>
    <row r="99" spans="4:4">
      <c r="D99" s="5"/>
    </row>
    <row r="100" spans="4:4">
      <c r="D100" s="5"/>
    </row>
    <row r="101" spans="4:4">
      <c r="D101" s="5"/>
    </row>
    <row r="102" spans="4:4">
      <c r="D102" s="5"/>
    </row>
    <row r="103" spans="4:4">
      <c r="D103" s="5"/>
    </row>
    <row r="104" spans="4:4">
      <c r="D104" s="5"/>
    </row>
    <row r="105" spans="4:4">
      <c r="D105" s="5"/>
    </row>
    <row r="106" spans="4:4">
      <c r="D106" s="5"/>
    </row>
    <row r="107" spans="4:4">
      <c r="D107" s="5"/>
    </row>
    <row r="108" spans="4:4">
      <c r="D108" s="5"/>
    </row>
    <row r="109" spans="4:4">
      <c r="D109" s="5"/>
    </row>
    <row r="110" spans="4:4">
      <c r="D110" s="5"/>
    </row>
    <row r="111" spans="4:4">
      <c r="D111" s="5"/>
    </row>
    <row r="112" spans="4:4">
      <c r="D112" s="5"/>
    </row>
    <row r="113" spans="4:4">
      <c r="D113" s="5"/>
    </row>
    <row r="114" spans="4:4">
      <c r="D114" s="5"/>
    </row>
    <row r="115" spans="4:4">
      <c r="D115" s="5"/>
    </row>
    <row r="116" spans="4:4">
      <c r="D116" s="5"/>
    </row>
    <row r="117" spans="4:4">
      <c r="D117" s="5"/>
    </row>
    <row r="118" spans="4:4">
      <c r="D118" s="5"/>
    </row>
    <row r="119" spans="4:4">
      <c r="D119" s="5"/>
    </row>
    <row r="120" spans="4:4">
      <c r="D120" s="5"/>
    </row>
    <row r="121" spans="4:4">
      <c r="D121" s="5"/>
    </row>
    <row r="122" spans="4:4">
      <c r="D122" s="5"/>
    </row>
    <row r="123" spans="4:4">
      <c r="D123" s="5"/>
    </row>
    <row r="124" spans="4:4">
      <c r="D124" s="5"/>
    </row>
    <row r="125" spans="4:4">
      <c r="D125" s="5"/>
    </row>
    <row r="126" spans="4:4">
      <c r="D126" s="5"/>
    </row>
    <row r="127" spans="4:4">
      <c r="D127" s="5"/>
    </row>
    <row r="128" spans="4:4">
      <c r="D128" s="5"/>
    </row>
    <row r="129" spans="4:4">
      <c r="D129" s="5"/>
    </row>
    <row r="130" spans="4:4">
      <c r="D130" s="5"/>
    </row>
    <row r="131" spans="4:4">
      <c r="D131" s="5"/>
    </row>
    <row r="132" spans="4:4">
      <c r="D132" s="5"/>
    </row>
    <row r="133" spans="4:4">
      <c r="D133" s="5"/>
    </row>
    <row r="134" spans="4:4">
      <c r="D134" s="5"/>
    </row>
    <row r="135" spans="4:4">
      <c r="D135" s="5"/>
    </row>
    <row r="136" spans="4:4">
      <c r="D136" s="5"/>
    </row>
    <row r="137" spans="4:4">
      <c r="D137" s="5"/>
    </row>
    <row r="138" spans="4:4">
      <c r="D138" s="5"/>
    </row>
    <row r="139" spans="4:4">
      <c r="D139" s="5"/>
    </row>
    <row r="140" spans="4:4">
      <c r="D140" s="5"/>
    </row>
    <row r="141" spans="4:4">
      <c r="D141" s="5"/>
    </row>
    <row r="142" spans="4:4">
      <c r="D142" s="5"/>
    </row>
    <row r="143" spans="4:4">
      <c r="D143" s="5"/>
    </row>
    <row r="144" spans="4:4">
      <c r="D144" s="5"/>
    </row>
    <row r="145" spans="4:4">
      <c r="D145" s="5"/>
    </row>
    <row r="146" spans="4:4">
      <c r="D146" s="5"/>
    </row>
    <row r="147" spans="4:4">
      <c r="D147" s="5"/>
    </row>
    <row r="148" spans="4:4">
      <c r="D148" s="5"/>
    </row>
    <row r="149" spans="4:4">
      <c r="D149" s="5"/>
    </row>
    <row r="150" spans="4:4">
      <c r="D150" s="5"/>
    </row>
    <row r="151" spans="4:4">
      <c r="D151" s="5"/>
    </row>
    <row r="152" spans="4:4">
      <c r="D152" s="5"/>
    </row>
    <row r="153" spans="4:4">
      <c r="D153" s="5"/>
    </row>
    <row r="154" spans="4:4">
      <c r="D154" s="5"/>
    </row>
    <row r="155" spans="4:4">
      <c r="D155" s="5"/>
    </row>
    <row r="156" spans="4:4">
      <c r="D156" s="5"/>
    </row>
    <row r="157" spans="4:4">
      <c r="D157" s="5"/>
    </row>
    <row r="158" spans="4:4">
      <c r="D158" s="5"/>
    </row>
    <row r="159" spans="4:4">
      <c r="D159" s="5"/>
    </row>
    <row r="160" spans="4:4">
      <c r="D160" s="5"/>
    </row>
    <row r="161" spans="4:4">
      <c r="D161" s="5"/>
    </row>
    <row r="162" spans="4:4">
      <c r="D162" s="5"/>
    </row>
    <row r="163" spans="4:4">
      <c r="D163" s="5"/>
    </row>
    <row r="164" spans="4:4">
      <c r="D164" s="5"/>
    </row>
    <row r="165" spans="4:4">
      <c r="D165" s="5"/>
    </row>
    <row r="166" spans="4:4">
      <c r="D166" s="5"/>
    </row>
    <row r="167" spans="4:4">
      <c r="D167" s="5"/>
    </row>
    <row r="168" spans="4:4">
      <c r="D168" s="5"/>
    </row>
    <row r="169" spans="4:4">
      <c r="D169" s="5"/>
    </row>
    <row r="170" spans="4:4">
      <c r="D170" s="5"/>
    </row>
    <row r="171" spans="4:4">
      <c r="D171" s="5"/>
    </row>
    <row r="172" spans="4:4">
      <c r="D172" s="5"/>
    </row>
    <row r="173" spans="4:4">
      <c r="D173" s="5"/>
    </row>
    <row r="174" spans="4:4">
      <c r="D174" s="5"/>
    </row>
    <row r="175" spans="4:4">
      <c r="D175" s="5"/>
    </row>
    <row r="176" spans="4:4">
      <c r="D176" s="5"/>
    </row>
    <row r="177" spans="4:4">
      <c r="D177" s="5"/>
    </row>
    <row r="178" spans="4:4">
      <c r="D178" s="5"/>
    </row>
    <row r="179" spans="4:4">
      <c r="D179" s="5"/>
    </row>
    <row r="180" spans="4:4">
      <c r="D180" s="5"/>
    </row>
    <row r="181" spans="4:4">
      <c r="D181" s="5"/>
    </row>
    <row r="182" spans="4:4">
      <c r="D182" s="5"/>
    </row>
    <row r="183" spans="4:4">
      <c r="D183" s="5"/>
    </row>
    <row r="184" spans="4:4">
      <c r="D184" s="5"/>
    </row>
    <row r="185" spans="4:4">
      <c r="D185" s="5"/>
    </row>
    <row r="186" spans="4:4">
      <c r="D186" s="5"/>
    </row>
    <row r="187" spans="4:4">
      <c r="D187" s="5"/>
    </row>
    <row r="188" spans="4:4">
      <c r="D188" s="5"/>
    </row>
    <row r="189" spans="4:4">
      <c r="D189" s="5"/>
    </row>
    <row r="190" spans="4:4">
      <c r="D190" s="5"/>
    </row>
    <row r="191" spans="4:4">
      <c r="D191" s="5"/>
    </row>
    <row r="192" spans="4:4">
      <c r="D192" s="5"/>
    </row>
    <row r="193" spans="4:4">
      <c r="D193" s="5"/>
    </row>
    <row r="194" spans="4:4">
      <c r="D194" s="5"/>
    </row>
    <row r="195" spans="4:4">
      <c r="D195" s="5"/>
    </row>
    <row r="196" spans="4:4">
      <c r="D196" s="5"/>
    </row>
    <row r="197" spans="4:4">
      <c r="D197" s="5"/>
    </row>
    <row r="198" spans="4:4">
      <c r="D198" s="5"/>
    </row>
    <row r="199" spans="4:4">
      <c r="D199" s="5"/>
    </row>
    <row r="200" spans="4:4">
      <c r="D200" s="5"/>
    </row>
    <row r="201" spans="4:4">
      <c r="D201" s="5"/>
    </row>
    <row r="202" spans="4:4">
      <c r="D202" s="5"/>
    </row>
    <row r="203" spans="4:4">
      <c r="D203" s="5"/>
    </row>
    <row r="204" spans="4:4">
      <c r="D204" s="5"/>
    </row>
    <row r="205" spans="4:4">
      <c r="D205" s="5"/>
    </row>
    <row r="206" spans="4:4">
      <c r="D206" s="5"/>
    </row>
    <row r="207" spans="4:4">
      <c r="D207" s="5"/>
    </row>
    <row r="208" spans="4:4">
      <c r="D208" s="5"/>
    </row>
    <row r="209" spans="4:4">
      <c r="D209" s="5"/>
    </row>
    <row r="210" spans="4:4">
      <c r="D210" s="5"/>
    </row>
    <row r="211" spans="4:4">
      <c r="D211" s="5"/>
    </row>
    <row r="212" spans="4:4">
      <c r="D212" s="5"/>
    </row>
    <row r="213" spans="4:4">
      <c r="D213" s="5"/>
    </row>
    <row r="214" spans="4:4">
      <c r="D214" s="5"/>
    </row>
    <row r="215" spans="4:4">
      <c r="D215" s="5"/>
    </row>
    <row r="216" spans="4:4">
      <c r="D216" s="5"/>
    </row>
    <row r="217" spans="4:4">
      <c r="D217" s="5"/>
    </row>
    <row r="218" spans="4:4">
      <c r="D218" s="5"/>
    </row>
    <row r="219" spans="4:4">
      <c r="D219" s="5"/>
    </row>
    <row r="220" spans="4:4">
      <c r="D220" s="5"/>
    </row>
    <row r="221" spans="4:4">
      <c r="D221" s="5"/>
    </row>
    <row r="222" spans="4:4">
      <c r="D222" s="5"/>
    </row>
    <row r="223" spans="4:4">
      <c r="D223" s="5"/>
    </row>
    <row r="224" spans="4:4">
      <c r="D224" s="5"/>
    </row>
    <row r="225" spans="4:4">
      <c r="D225" s="5"/>
    </row>
    <row r="226" spans="4:4">
      <c r="D226" s="5"/>
    </row>
    <row r="227" spans="4:4">
      <c r="D227" s="5"/>
    </row>
    <row r="228" spans="4:4">
      <c r="D228" s="5"/>
    </row>
    <row r="229" spans="4:4">
      <c r="D229" s="5"/>
    </row>
    <row r="230" spans="4:4">
      <c r="D230" s="5"/>
    </row>
    <row r="231" spans="4:4">
      <c r="D231" s="5"/>
    </row>
    <row r="232" spans="4:4">
      <c r="D232" s="5"/>
    </row>
    <row r="233" spans="4:4">
      <c r="D233" s="5"/>
    </row>
    <row r="234" spans="4:4">
      <c r="D234" s="5"/>
    </row>
    <row r="235" spans="4:4">
      <c r="D235" s="5"/>
    </row>
    <row r="236" spans="4:4">
      <c r="D236" s="5"/>
    </row>
    <row r="237" spans="4:4">
      <c r="D237" s="5"/>
    </row>
    <row r="238" spans="4:4">
      <c r="D238" s="5"/>
    </row>
    <row r="239" spans="4:4">
      <c r="D239" s="5"/>
    </row>
    <row r="240" spans="4:4">
      <c r="D240" s="5"/>
    </row>
    <row r="241" spans="4:4">
      <c r="D241" s="5"/>
    </row>
    <row r="242" spans="4:4">
      <c r="D242" s="5"/>
    </row>
    <row r="243" spans="4:4">
      <c r="D243" s="5"/>
    </row>
    <row r="244" spans="4:4">
      <c r="D244" s="5"/>
    </row>
    <row r="245" spans="4:4">
      <c r="D245" s="5"/>
    </row>
    <row r="246" spans="4:4">
      <c r="D246" s="5"/>
    </row>
    <row r="247" spans="4:4">
      <c r="D247" s="5"/>
    </row>
    <row r="248" spans="4:4">
      <c r="D248" s="5"/>
    </row>
    <row r="249" spans="4:4">
      <c r="D249" s="5"/>
    </row>
    <row r="250" spans="4:4">
      <c r="D250" s="5"/>
    </row>
    <row r="251" spans="4:4">
      <c r="D251" s="5"/>
    </row>
    <row r="252" spans="4:4">
      <c r="D252" s="5"/>
    </row>
    <row r="253" spans="4:4">
      <c r="D253" s="5"/>
    </row>
    <row r="254" spans="4:4">
      <c r="D254" s="5"/>
    </row>
    <row r="255" spans="4:4">
      <c r="D255" s="5"/>
    </row>
    <row r="256" spans="4:4">
      <c r="D256" s="5"/>
    </row>
    <row r="257" spans="4:4">
      <c r="D257" s="5"/>
    </row>
    <row r="258" spans="4:4">
      <c r="D258" s="5"/>
    </row>
    <row r="259" spans="4:4">
      <c r="D259" s="5"/>
    </row>
    <row r="260" spans="4:4">
      <c r="D260" s="5"/>
    </row>
    <row r="261" spans="4:4">
      <c r="D261" s="5"/>
    </row>
    <row r="262" spans="4:4">
      <c r="D262" s="5"/>
    </row>
    <row r="263" spans="4:4">
      <c r="D263" s="5"/>
    </row>
    <row r="264" spans="4:4">
      <c r="D264" s="5"/>
    </row>
    <row r="265" spans="4:4">
      <c r="D265" s="5"/>
    </row>
    <row r="266" spans="4:4">
      <c r="D266" s="5"/>
    </row>
    <row r="267" spans="4:4">
      <c r="D267" s="5"/>
    </row>
    <row r="268" spans="4:4">
      <c r="D268" s="5"/>
    </row>
    <row r="269" spans="4:4">
      <c r="D269" s="5"/>
    </row>
    <row r="270" spans="4:4">
      <c r="D270" s="5"/>
    </row>
    <row r="271" spans="4:4">
      <c r="D271" s="5"/>
    </row>
    <row r="272" spans="4:4">
      <c r="D272" s="5"/>
    </row>
    <row r="273" spans="4:4">
      <c r="D273" s="5"/>
    </row>
    <row r="274" spans="4:4">
      <c r="D274" s="5"/>
    </row>
    <row r="275" spans="4:4">
      <c r="D275" s="5"/>
    </row>
    <row r="276" spans="4:4">
      <c r="D276" s="5"/>
    </row>
    <row r="277" spans="4:4">
      <c r="D277" s="5"/>
    </row>
    <row r="278" spans="4:4">
      <c r="D278" s="5"/>
    </row>
    <row r="279" spans="4:4">
      <c r="D279" s="5"/>
    </row>
    <row r="280" spans="4:4">
      <c r="D280" s="5"/>
    </row>
    <row r="281" spans="4:4">
      <c r="D281" s="5"/>
    </row>
    <row r="282" spans="4:4">
      <c r="D282" s="5"/>
    </row>
    <row r="283" spans="4:4">
      <c r="D283" s="5"/>
    </row>
    <row r="284" spans="4:4">
      <c r="D284" s="5"/>
    </row>
    <row r="285" spans="4:4">
      <c r="D285" s="5"/>
    </row>
    <row r="286" spans="4:4">
      <c r="D286" s="5"/>
    </row>
    <row r="287" spans="4:4">
      <c r="D287" s="5"/>
    </row>
    <row r="288" spans="4:4">
      <c r="D288" s="5"/>
    </row>
    <row r="289" spans="4:4">
      <c r="D289" s="5"/>
    </row>
    <row r="290" spans="4:4">
      <c r="D290" s="5"/>
    </row>
    <row r="291" spans="4:4">
      <c r="D291" s="5"/>
    </row>
    <row r="292" spans="4:4">
      <c r="D292" s="5"/>
    </row>
    <row r="293" spans="4:4">
      <c r="D293" s="5"/>
    </row>
    <row r="294" spans="4:4">
      <c r="D294" s="5"/>
    </row>
    <row r="295" spans="4:4">
      <c r="D295" s="5"/>
    </row>
    <row r="296" spans="4:4">
      <c r="D296" s="5"/>
    </row>
    <row r="297" spans="4:4">
      <c r="D297" s="5"/>
    </row>
    <row r="298" spans="4:4">
      <c r="D298" s="5"/>
    </row>
    <row r="299" spans="4:4">
      <c r="D299" s="5"/>
    </row>
    <row r="300" spans="4:4">
      <c r="D300" s="5"/>
    </row>
    <row r="301" spans="4:4">
      <c r="D301" s="5"/>
    </row>
    <row r="302" spans="4:4">
      <c r="D302" s="5"/>
    </row>
    <row r="303" spans="4:4">
      <c r="D303" s="5"/>
    </row>
    <row r="304" spans="4:4">
      <c r="D304" s="5"/>
    </row>
    <row r="305" spans="4:4">
      <c r="D305" s="5"/>
    </row>
    <row r="306" spans="4:4">
      <c r="D306" s="5"/>
    </row>
    <row r="307" spans="4:4">
      <c r="D307" s="5"/>
    </row>
    <row r="308" spans="4:4">
      <c r="D308" s="5"/>
    </row>
    <row r="309" spans="4:4">
      <c r="D309" s="5"/>
    </row>
    <row r="310" spans="4:4">
      <c r="D310" s="5"/>
    </row>
    <row r="311" spans="4:4">
      <c r="D311" s="5"/>
    </row>
    <row r="312" spans="4:4">
      <c r="D312" s="5"/>
    </row>
    <row r="313" spans="4:4">
      <c r="D313" s="5"/>
    </row>
    <row r="314" spans="4:4">
      <c r="D314" s="5"/>
    </row>
    <row r="315" spans="4:4">
      <c r="D315" s="5"/>
    </row>
    <row r="316" spans="4:4">
      <c r="D316" s="5"/>
    </row>
    <row r="317" spans="4:4">
      <c r="D317" s="5"/>
    </row>
    <row r="318" spans="4:4">
      <c r="D318" s="5"/>
    </row>
    <row r="319" spans="4:4">
      <c r="D319" s="5"/>
    </row>
    <row r="320" spans="4:4">
      <c r="D320" s="5"/>
    </row>
    <row r="321" spans="4:4">
      <c r="D321" s="5"/>
    </row>
    <row r="322" spans="4:4">
      <c r="D322" s="5"/>
    </row>
    <row r="323" spans="4:4">
      <c r="D323" s="5"/>
    </row>
    <row r="324" spans="4:4">
      <c r="D324" s="5"/>
    </row>
    <row r="325" spans="4:4">
      <c r="D325" s="5"/>
    </row>
    <row r="326" spans="4:4">
      <c r="D326" s="5"/>
    </row>
    <row r="327" spans="4:4">
      <c r="D327" s="5"/>
    </row>
    <row r="328" spans="4:4">
      <c r="D328" s="5"/>
    </row>
    <row r="329" spans="4:4">
      <c r="D329" s="5"/>
    </row>
    <row r="330" spans="4:4">
      <c r="D330" s="5"/>
    </row>
    <row r="331" spans="4:4">
      <c r="D331" s="5"/>
    </row>
    <row r="332" spans="4:4">
      <c r="D332" s="5"/>
    </row>
    <row r="333" spans="4:4">
      <c r="D333" s="5"/>
    </row>
    <row r="334" spans="4:4">
      <c r="D334" s="5"/>
    </row>
    <row r="335" spans="4:4">
      <c r="D335" s="5"/>
    </row>
    <row r="336" spans="4:4">
      <c r="D336" s="5"/>
    </row>
    <row r="337" spans="4:4">
      <c r="D337" s="5"/>
    </row>
    <row r="338" spans="4:4">
      <c r="D338" s="5"/>
    </row>
    <row r="339" spans="4:4">
      <c r="D339" s="5"/>
    </row>
    <row r="340" spans="4:4">
      <c r="D340" s="5"/>
    </row>
    <row r="341" spans="4:4">
      <c r="D341" s="5"/>
    </row>
    <row r="342" spans="4:4">
      <c r="D342" s="5"/>
    </row>
    <row r="343" spans="4:4">
      <c r="D343" s="5"/>
    </row>
    <row r="344" spans="4:4">
      <c r="D344" s="5"/>
    </row>
    <row r="345" spans="4:4">
      <c r="D345" s="5"/>
    </row>
    <row r="346" spans="4:4">
      <c r="D346" s="5"/>
    </row>
    <row r="347" spans="4:4">
      <c r="D347" s="5"/>
    </row>
    <row r="348" spans="4:4">
      <c r="D348" s="5"/>
    </row>
    <row r="349" spans="4:4">
      <c r="D349" s="5"/>
    </row>
    <row r="350" spans="4:4">
      <c r="D350" s="5"/>
    </row>
    <row r="351" spans="4:4">
      <c r="D351" s="5"/>
    </row>
    <row r="352" spans="4:4">
      <c r="D352" s="5"/>
    </row>
    <row r="353" spans="4:4">
      <c r="D353" s="5"/>
    </row>
    <row r="354" spans="4:4">
      <c r="D354" s="5"/>
    </row>
    <row r="355" spans="4:4">
      <c r="D355" s="5"/>
    </row>
    <row r="356" spans="4:4">
      <c r="D356" s="5"/>
    </row>
    <row r="357" spans="4:4">
      <c r="D357" s="5"/>
    </row>
    <row r="358" spans="4:4">
      <c r="D358" s="5"/>
    </row>
    <row r="359" spans="4:4">
      <c r="D359" s="5"/>
    </row>
    <row r="360" spans="4:4">
      <c r="D360" s="5"/>
    </row>
    <row r="361" spans="4:4">
      <c r="D361" s="5"/>
    </row>
    <row r="362" spans="4:4">
      <c r="D362" s="5"/>
    </row>
    <row r="363" spans="4:4">
      <c r="D363" s="5"/>
    </row>
    <row r="364" spans="4:4">
      <c r="D364" s="5"/>
    </row>
    <row r="365" spans="4:4">
      <c r="D365" s="5"/>
    </row>
    <row r="366" spans="4:4">
      <c r="D366" s="5"/>
    </row>
    <row r="367" spans="4:4">
      <c r="D367" s="5"/>
    </row>
    <row r="368" spans="4:4">
      <c r="D368" s="5"/>
    </row>
    <row r="369" spans="4:4">
      <c r="D369" s="5"/>
    </row>
    <row r="370" spans="4:4">
      <c r="D370" s="5"/>
    </row>
    <row r="371" spans="4:4">
      <c r="D371" s="5"/>
    </row>
    <row r="372" spans="4:4">
      <c r="D372" s="5"/>
    </row>
    <row r="373" spans="4:4">
      <c r="D373" s="5"/>
    </row>
    <row r="374" spans="4:4">
      <c r="D374" s="5"/>
    </row>
    <row r="375" spans="4:4">
      <c r="D375" s="5"/>
    </row>
    <row r="376" spans="4:4">
      <c r="D376" s="5"/>
    </row>
    <row r="377" spans="4:4">
      <c r="D377" s="5"/>
    </row>
    <row r="378" spans="4:4">
      <c r="D378" s="5"/>
    </row>
    <row r="379" spans="4:4">
      <c r="D379" s="5"/>
    </row>
    <row r="380" spans="4:4">
      <c r="D380" s="5"/>
    </row>
    <row r="381" spans="4:4">
      <c r="D381" s="5"/>
    </row>
    <row r="382" spans="4:4">
      <c r="D382" s="5"/>
    </row>
    <row r="383" spans="4:4">
      <c r="D383" s="5"/>
    </row>
    <row r="384" spans="4:4">
      <c r="D384" s="5"/>
    </row>
    <row r="385" spans="4:4">
      <c r="D385" s="5"/>
    </row>
    <row r="386" spans="4:4">
      <c r="D386" s="5"/>
    </row>
  </sheetData>
  <mergeCells count="4">
    <mergeCell ref="A4:I4"/>
    <mergeCell ref="A5:I5"/>
    <mergeCell ref="A6:I6"/>
    <mergeCell ref="A7:I7"/>
  </mergeCells>
  <phoneticPr fontId="5" type="noConversion"/>
  <pageMargins left="0.75" right="0.75" top="1" bottom="1" header="0.5" footer="0.5"/>
  <pageSetup scale="94"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indexed="13"/>
    <pageSetUpPr fitToPage="1"/>
  </sheetPr>
  <dimension ref="A1:F383"/>
  <sheetViews>
    <sheetView workbookViewId="0">
      <selection activeCell="A4" sqref="A4:E4"/>
    </sheetView>
  </sheetViews>
  <sheetFormatPr defaultRowHeight="12.75"/>
  <cols>
    <col min="1" max="1" width="4.42578125" bestFit="1" customWidth="1"/>
    <col min="2" max="2" width="49.42578125" bestFit="1" customWidth="1"/>
    <col min="3" max="3" width="17.42578125" style="16" bestFit="1" customWidth="1"/>
    <col min="4" max="4" width="17.5703125" bestFit="1" customWidth="1"/>
    <col min="5" max="5" width="16.5703125" bestFit="1" customWidth="1"/>
  </cols>
  <sheetData>
    <row r="1" spans="1:6">
      <c r="E1" t="str">
        <f>A!D1</f>
        <v>Docket No. RP16-299-000</v>
      </c>
    </row>
    <row r="2" spans="1:6">
      <c r="E2" t="s">
        <v>105</v>
      </c>
    </row>
    <row r="4" spans="1:6">
      <c r="A4" s="927" t="str">
        <f>'Sched D-2'!A4:I4</f>
        <v>Tuscarora Gas Transmission Company</v>
      </c>
      <c r="B4" s="927"/>
      <c r="C4" s="927"/>
      <c r="D4" s="927"/>
      <c r="E4" s="927"/>
      <c r="F4" s="9"/>
    </row>
    <row r="5" spans="1:6">
      <c r="A5" s="927" t="s">
        <v>384</v>
      </c>
      <c r="B5" s="927"/>
      <c r="C5" s="927"/>
      <c r="D5" s="927"/>
      <c r="E5" s="927"/>
      <c r="F5" s="9"/>
    </row>
    <row r="6" spans="1:6">
      <c r="A6" s="929" t="str">
        <f>'Title Input and Macros'!B10</f>
        <v>For the Thirteen Months Ended December 31, 2015</v>
      </c>
      <c r="B6" s="929"/>
      <c r="C6" s="929"/>
      <c r="D6" s="929"/>
      <c r="E6" s="929"/>
      <c r="F6" s="9"/>
    </row>
    <row r="8" spans="1:6">
      <c r="F8" s="2"/>
    </row>
    <row r="9" spans="1:6">
      <c r="A9" t="s">
        <v>352</v>
      </c>
      <c r="C9" s="14"/>
      <c r="D9" s="2" t="s">
        <v>356</v>
      </c>
      <c r="F9" s="2"/>
    </row>
    <row r="10" spans="1:6">
      <c r="A10" s="1" t="s">
        <v>353</v>
      </c>
      <c r="B10" s="3" t="s">
        <v>354</v>
      </c>
      <c r="C10" s="33" t="s">
        <v>106</v>
      </c>
      <c r="D10" s="17" t="s">
        <v>357</v>
      </c>
      <c r="E10" s="3"/>
      <c r="F10" s="3"/>
    </row>
    <row r="11" spans="1:6">
      <c r="B11" s="2" t="s">
        <v>361</v>
      </c>
      <c r="C11" s="14" t="s">
        <v>362</v>
      </c>
      <c r="D11" s="2" t="s">
        <v>366</v>
      </c>
    </row>
    <row r="12" spans="1:6">
      <c r="C12" s="14"/>
      <c r="D12" s="2" t="s">
        <v>365</v>
      </c>
    </row>
    <row r="13" spans="1:6">
      <c r="A13">
        <v>1</v>
      </c>
      <c r="B13" s="24" t="s">
        <v>108</v>
      </c>
      <c r="C13" s="2" t="s">
        <v>107</v>
      </c>
      <c r="D13" s="68">
        <f>'Sched E-2'!C30</f>
        <v>24223</v>
      </c>
    </row>
    <row r="14" spans="1:6">
      <c r="A14">
        <f>A13+1</f>
        <v>2</v>
      </c>
      <c r="B14" s="24" t="s">
        <v>109</v>
      </c>
      <c r="C14" s="14" t="s">
        <v>107</v>
      </c>
      <c r="D14" s="68">
        <f>'Sched E-2'!D30</f>
        <v>35107</v>
      </c>
    </row>
    <row r="15" spans="1:6" ht="13.5" thickBot="1">
      <c r="A15">
        <f>A14+1</f>
        <v>3</v>
      </c>
      <c r="B15" s="24" t="s">
        <v>110</v>
      </c>
      <c r="C15"/>
      <c r="D15" s="69">
        <f>SUM(D13:D14)</f>
        <v>59330</v>
      </c>
    </row>
    <row r="16" spans="1:6" ht="13.5" thickTop="1">
      <c r="D16" s="5"/>
    </row>
    <row r="17" spans="2:4">
      <c r="D17" s="5"/>
    </row>
    <row r="18" spans="2:4" ht="15.75">
      <c r="B18" s="25"/>
      <c r="D18" s="5"/>
    </row>
    <row r="19" spans="2:4">
      <c r="D19" s="5"/>
    </row>
    <row r="20" spans="2:4">
      <c r="D20" s="5"/>
    </row>
    <row r="21" spans="2:4">
      <c r="D21" s="5"/>
    </row>
    <row r="22" spans="2:4">
      <c r="D22" s="5"/>
    </row>
    <row r="23" spans="2:4">
      <c r="D23" s="5"/>
    </row>
    <row r="24" spans="2:4">
      <c r="D24" s="5"/>
    </row>
    <row r="25" spans="2:4">
      <c r="D25" s="5"/>
    </row>
    <row r="26" spans="2:4">
      <c r="D26" s="5"/>
    </row>
    <row r="27" spans="2:4">
      <c r="D27" s="5"/>
    </row>
    <row r="28" spans="2:4">
      <c r="D28" s="5"/>
    </row>
    <row r="29" spans="2:4">
      <c r="D29" s="5"/>
    </row>
    <row r="30" spans="2:4">
      <c r="D30" s="5"/>
    </row>
    <row r="31" spans="2:4">
      <c r="D31" s="5"/>
    </row>
    <row r="32" spans="2:4">
      <c r="D32" s="5"/>
    </row>
    <row r="33" spans="4:4">
      <c r="D33" s="5"/>
    </row>
    <row r="34" spans="4:4">
      <c r="D34" s="5"/>
    </row>
    <row r="35" spans="4:4">
      <c r="D35" s="5"/>
    </row>
    <row r="36" spans="4:4">
      <c r="D36" s="5"/>
    </row>
    <row r="37" spans="4:4">
      <c r="D37" s="5"/>
    </row>
    <row r="38" spans="4:4">
      <c r="D38" s="5"/>
    </row>
    <row r="39" spans="4:4">
      <c r="D39" s="5"/>
    </row>
    <row r="40" spans="4:4">
      <c r="D40" s="5"/>
    </row>
    <row r="41" spans="4:4">
      <c r="D41" s="5"/>
    </row>
    <row r="42" spans="4:4">
      <c r="D42" s="5"/>
    </row>
    <row r="43" spans="4:4">
      <c r="D43" s="5"/>
    </row>
    <row r="44" spans="4:4">
      <c r="D44" s="5"/>
    </row>
    <row r="45" spans="4:4">
      <c r="D45" s="5"/>
    </row>
    <row r="46" spans="4:4">
      <c r="D46" s="5"/>
    </row>
    <row r="47" spans="4:4">
      <c r="D47" s="5"/>
    </row>
    <row r="48" spans="4:4">
      <c r="D48" s="5"/>
    </row>
    <row r="49" spans="4:4">
      <c r="D49" s="5"/>
    </row>
    <row r="50" spans="4:4">
      <c r="D50" s="5"/>
    </row>
    <row r="51" spans="4:4">
      <c r="D51" s="5"/>
    </row>
    <row r="52" spans="4:4">
      <c r="D52" s="5"/>
    </row>
    <row r="53" spans="4:4">
      <c r="D53" s="5"/>
    </row>
    <row r="54" spans="4:4">
      <c r="D54" s="5"/>
    </row>
    <row r="55" spans="4:4">
      <c r="D55" s="5"/>
    </row>
    <row r="56" spans="4:4">
      <c r="D56" s="5"/>
    </row>
    <row r="57" spans="4:4">
      <c r="D57" s="5"/>
    </row>
    <row r="58" spans="4:4">
      <c r="D58" s="5"/>
    </row>
    <row r="59" spans="4:4">
      <c r="D59" s="5"/>
    </row>
    <row r="60" spans="4:4">
      <c r="D60" s="5"/>
    </row>
    <row r="61" spans="4:4">
      <c r="D61" s="5"/>
    </row>
    <row r="62" spans="4:4">
      <c r="D62" s="5"/>
    </row>
    <row r="63" spans="4:4">
      <c r="D63" s="5"/>
    </row>
    <row r="64" spans="4:4">
      <c r="D64" s="5"/>
    </row>
    <row r="65" spans="4:4">
      <c r="D65" s="5"/>
    </row>
    <row r="66" spans="4:4">
      <c r="D66" s="5"/>
    </row>
    <row r="67" spans="4:4">
      <c r="D67" s="5"/>
    </row>
    <row r="68" spans="4:4">
      <c r="D68" s="5"/>
    </row>
    <row r="69" spans="4:4">
      <c r="D69" s="5"/>
    </row>
    <row r="70" spans="4:4">
      <c r="D70" s="5"/>
    </row>
    <row r="71" spans="4:4">
      <c r="D71" s="5"/>
    </row>
    <row r="72" spans="4:4">
      <c r="D72" s="5"/>
    </row>
    <row r="73" spans="4:4">
      <c r="D73" s="5"/>
    </row>
    <row r="74" spans="4:4">
      <c r="D74" s="5"/>
    </row>
    <row r="75" spans="4:4">
      <c r="D75" s="5"/>
    </row>
    <row r="76" spans="4:4">
      <c r="D76" s="5"/>
    </row>
    <row r="77" spans="4:4">
      <c r="D77" s="5"/>
    </row>
    <row r="78" spans="4:4">
      <c r="D78" s="5"/>
    </row>
    <row r="79" spans="4:4">
      <c r="D79" s="5"/>
    </row>
    <row r="80" spans="4:4">
      <c r="D80" s="5"/>
    </row>
    <row r="81" spans="4:4">
      <c r="D81" s="5"/>
    </row>
    <row r="82" spans="4:4">
      <c r="D82" s="5"/>
    </row>
    <row r="83" spans="4:4">
      <c r="D83" s="5"/>
    </row>
    <row r="84" spans="4:4">
      <c r="D84" s="5"/>
    </row>
    <row r="85" spans="4:4">
      <c r="D85" s="5"/>
    </row>
    <row r="86" spans="4:4">
      <c r="D86" s="5"/>
    </row>
    <row r="87" spans="4:4">
      <c r="D87" s="5"/>
    </row>
    <row r="88" spans="4:4">
      <c r="D88" s="5"/>
    </row>
    <row r="89" spans="4:4">
      <c r="D89" s="5"/>
    </row>
    <row r="90" spans="4:4">
      <c r="D90" s="5"/>
    </row>
    <row r="91" spans="4:4">
      <c r="D91" s="5"/>
    </row>
    <row r="92" spans="4:4">
      <c r="D92" s="5"/>
    </row>
    <row r="93" spans="4:4">
      <c r="D93" s="5"/>
    </row>
    <row r="94" spans="4:4">
      <c r="D94" s="5"/>
    </row>
    <row r="95" spans="4:4">
      <c r="D95" s="5"/>
    </row>
    <row r="96" spans="4:4">
      <c r="D96" s="5"/>
    </row>
    <row r="97" spans="4:4">
      <c r="D97" s="5"/>
    </row>
    <row r="98" spans="4:4">
      <c r="D98" s="5"/>
    </row>
    <row r="99" spans="4:4">
      <c r="D99" s="5"/>
    </row>
    <row r="100" spans="4:4">
      <c r="D100" s="5"/>
    </row>
    <row r="101" spans="4:4">
      <c r="D101" s="5"/>
    </row>
    <row r="102" spans="4:4">
      <c r="D102" s="5"/>
    </row>
    <row r="103" spans="4:4">
      <c r="D103" s="5"/>
    </row>
    <row r="104" spans="4:4">
      <c r="D104" s="5"/>
    </row>
    <row r="105" spans="4:4">
      <c r="D105" s="5"/>
    </row>
    <row r="106" spans="4:4">
      <c r="D106" s="5"/>
    </row>
    <row r="107" spans="4:4">
      <c r="D107" s="5"/>
    </row>
    <row r="108" spans="4:4">
      <c r="D108" s="5"/>
    </row>
    <row r="109" spans="4:4">
      <c r="D109" s="5"/>
    </row>
    <row r="110" spans="4:4">
      <c r="D110" s="5"/>
    </row>
    <row r="111" spans="4:4">
      <c r="D111" s="5"/>
    </row>
    <row r="112" spans="4:4">
      <c r="D112" s="5"/>
    </row>
    <row r="113" spans="4:4">
      <c r="D113" s="5"/>
    </row>
    <row r="114" spans="4:4">
      <c r="D114" s="5"/>
    </row>
    <row r="115" spans="4:4">
      <c r="D115" s="5"/>
    </row>
    <row r="116" spans="4:4">
      <c r="D116" s="5"/>
    </row>
    <row r="117" spans="4:4">
      <c r="D117" s="5"/>
    </row>
    <row r="118" spans="4:4">
      <c r="D118" s="5"/>
    </row>
    <row r="119" spans="4:4">
      <c r="D119" s="5"/>
    </row>
    <row r="120" spans="4:4">
      <c r="D120" s="5"/>
    </row>
    <row r="121" spans="4:4">
      <c r="D121" s="5"/>
    </row>
    <row r="122" spans="4:4">
      <c r="D122" s="5"/>
    </row>
    <row r="123" spans="4:4">
      <c r="D123" s="5"/>
    </row>
    <row r="124" spans="4:4">
      <c r="D124" s="5"/>
    </row>
    <row r="125" spans="4:4">
      <c r="D125" s="5"/>
    </row>
    <row r="126" spans="4:4">
      <c r="D126" s="5"/>
    </row>
    <row r="127" spans="4:4">
      <c r="D127" s="5"/>
    </row>
    <row r="128" spans="4:4">
      <c r="D128" s="5"/>
    </row>
    <row r="129" spans="4:4">
      <c r="D129" s="5"/>
    </row>
    <row r="130" spans="4:4">
      <c r="D130" s="5"/>
    </row>
    <row r="131" spans="4:4">
      <c r="D131" s="5"/>
    </row>
    <row r="132" spans="4:4">
      <c r="D132" s="5"/>
    </row>
    <row r="133" spans="4:4">
      <c r="D133" s="5"/>
    </row>
    <row r="134" spans="4:4">
      <c r="D134" s="5"/>
    </row>
    <row r="135" spans="4:4">
      <c r="D135" s="5"/>
    </row>
    <row r="136" spans="4:4">
      <c r="D136" s="5"/>
    </row>
    <row r="137" spans="4:4">
      <c r="D137" s="5"/>
    </row>
    <row r="138" spans="4:4">
      <c r="D138" s="5"/>
    </row>
    <row r="139" spans="4:4">
      <c r="D139" s="5"/>
    </row>
    <row r="140" spans="4:4">
      <c r="D140" s="5"/>
    </row>
    <row r="141" spans="4:4">
      <c r="D141" s="5"/>
    </row>
    <row r="142" spans="4:4">
      <c r="D142" s="5"/>
    </row>
    <row r="143" spans="4:4">
      <c r="D143" s="5"/>
    </row>
    <row r="144" spans="4:4">
      <c r="D144" s="5"/>
    </row>
    <row r="145" spans="4:4">
      <c r="D145" s="5"/>
    </row>
    <row r="146" spans="4:4">
      <c r="D146" s="5"/>
    </row>
    <row r="147" spans="4:4">
      <c r="D147" s="5"/>
    </row>
    <row r="148" spans="4:4">
      <c r="D148" s="5"/>
    </row>
    <row r="149" spans="4:4">
      <c r="D149" s="5"/>
    </row>
    <row r="150" spans="4:4">
      <c r="D150" s="5"/>
    </row>
    <row r="151" spans="4:4">
      <c r="D151" s="5"/>
    </row>
    <row r="152" spans="4:4">
      <c r="D152" s="5"/>
    </row>
    <row r="153" spans="4:4">
      <c r="D153" s="5"/>
    </row>
    <row r="154" spans="4:4">
      <c r="D154" s="5"/>
    </row>
    <row r="155" spans="4:4">
      <c r="D155" s="5"/>
    </row>
    <row r="156" spans="4:4">
      <c r="D156" s="5"/>
    </row>
    <row r="157" spans="4:4">
      <c r="D157" s="5"/>
    </row>
    <row r="158" spans="4:4">
      <c r="D158" s="5"/>
    </row>
    <row r="159" spans="4:4">
      <c r="D159" s="5"/>
    </row>
    <row r="160" spans="4:4">
      <c r="D160" s="5"/>
    </row>
    <row r="161" spans="4:4">
      <c r="D161" s="5"/>
    </row>
    <row r="162" spans="4:4">
      <c r="D162" s="5"/>
    </row>
    <row r="163" spans="4:4">
      <c r="D163" s="5"/>
    </row>
    <row r="164" spans="4:4">
      <c r="D164" s="5"/>
    </row>
    <row r="165" spans="4:4">
      <c r="D165" s="5"/>
    </row>
    <row r="166" spans="4:4">
      <c r="D166" s="5"/>
    </row>
    <row r="167" spans="4:4">
      <c r="D167" s="5"/>
    </row>
    <row r="168" spans="4:4">
      <c r="D168" s="5"/>
    </row>
    <row r="169" spans="4:4">
      <c r="D169" s="5"/>
    </row>
    <row r="170" spans="4:4">
      <c r="D170" s="5"/>
    </row>
    <row r="171" spans="4:4">
      <c r="D171" s="5"/>
    </row>
    <row r="172" spans="4:4">
      <c r="D172" s="5"/>
    </row>
    <row r="173" spans="4:4">
      <c r="D173" s="5"/>
    </row>
    <row r="174" spans="4:4">
      <c r="D174" s="5"/>
    </row>
    <row r="175" spans="4:4">
      <c r="D175" s="5"/>
    </row>
    <row r="176" spans="4:4">
      <c r="D176" s="5"/>
    </row>
    <row r="177" spans="4:4">
      <c r="D177" s="5"/>
    </row>
    <row r="178" spans="4:4">
      <c r="D178" s="5"/>
    </row>
    <row r="179" spans="4:4">
      <c r="D179" s="5"/>
    </row>
    <row r="180" spans="4:4">
      <c r="D180" s="5"/>
    </row>
    <row r="181" spans="4:4">
      <c r="D181" s="5"/>
    </row>
    <row r="182" spans="4:4">
      <c r="D182" s="5"/>
    </row>
    <row r="183" spans="4:4">
      <c r="D183" s="5"/>
    </row>
    <row r="184" spans="4:4">
      <c r="D184" s="5"/>
    </row>
    <row r="185" spans="4:4">
      <c r="D185" s="5"/>
    </row>
    <row r="186" spans="4:4">
      <c r="D186" s="5"/>
    </row>
    <row r="187" spans="4:4">
      <c r="D187" s="5"/>
    </row>
    <row r="188" spans="4:4">
      <c r="D188" s="5"/>
    </row>
    <row r="189" spans="4:4">
      <c r="D189" s="5"/>
    </row>
    <row r="190" spans="4:4">
      <c r="D190" s="5"/>
    </row>
    <row r="191" spans="4:4">
      <c r="D191" s="5"/>
    </row>
    <row r="192" spans="4:4">
      <c r="D192" s="5"/>
    </row>
    <row r="193" spans="4:4">
      <c r="D193" s="5"/>
    </row>
    <row r="194" spans="4:4">
      <c r="D194" s="5"/>
    </row>
    <row r="195" spans="4:4">
      <c r="D195" s="5"/>
    </row>
    <row r="196" spans="4:4">
      <c r="D196" s="5"/>
    </row>
    <row r="197" spans="4:4">
      <c r="D197" s="5"/>
    </row>
    <row r="198" spans="4:4">
      <c r="D198" s="5"/>
    </row>
    <row r="199" spans="4:4">
      <c r="D199" s="5"/>
    </row>
    <row r="200" spans="4:4">
      <c r="D200" s="5"/>
    </row>
    <row r="201" spans="4:4">
      <c r="D201" s="5"/>
    </row>
    <row r="202" spans="4:4">
      <c r="D202" s="5"/>
    </row>
    <row r="203" spans="4:4">
      <c r="D203" s="5"/>
    </row>
    <row r="204" spans="4:4">
      <c r="D204" s="5"/>
    </row>
    <row r="205" spans="4:4">
      <c r="D205" s="5"/>
    </row>
    <row r="206" spans="4:4">
      <c r="D206" s="5"/>
    </row>
    <row r="207" spans="4:4">
      <c r="D207" s="5"/>
    </row>
    <row r="208" spans="4:4">
      <c r="D208" s="5"/>
    </row>
    <row r="209" spans="4:4">
      <c r="D209" s="5"/>
    </row>
    <row r="210" spans="4:4">
      <c r="D210" s="5"/>
    </row>
    <row r="211" spans="4:4">
      <c r="D211" s="5"/>
    </row>
    <row r="212" spans="4:4">
      <c r="D212" s="5"/>
    </row>
    <row r="213" spans="4:4">
      <c r="D213" s="5"/>
    </row>
    <row r="214" spans="4:4">
      <c r="D214" s="5"/>
    </row>
    <row r="215" spans="4:4">
      <c r="D215" s="5"/>
    </row>
    <row r="216" spans="4:4">
      <c r="D216" s="5"/>
    </row>
    <row r="217" spans="4:4">
      <c r="D217" s="5"/>
    </row>
    <row r="218" spans="4:4">
      <c r="D218" s="5"/>
    </row>
    <row r="219" spans="4:4">
      <c r="D219" s="5"/>
    </row>
    <row r="220" spans="4:4">
      <c r="D220" s="5"/>
    </row>
    <row r="221" spans="4:4">
      <c r="D221" s="5"/>
    </row>
    <row r="222" spans="4:4">
      <c r="D222" s="5"/>
    </row>
    <row r="223" spans="4:4">
      <c r="D223" s="5"/>
    </row>
    <row r="224" spans="4:4">
      <c r="D224" s="5"/>
    </row>
    <row r="225" spans="4:4">
      <c r="D225" s="5"/>
    </row>
    <row r="226" spans="4:4">
      <c r="D226" s="5"/>
    </row>
    <row r="227" spans="4:4">
      <c r="D227" s="5"/>
    </row>
    <row r="228" spans="4:4">
      <c r="D228" s="5"/>
    </row>
    <row r="229" spans="4:4">
      <c r="D229" s="5"/>
    </row>
    <row r="230" spans="4:4">
      <c r="D230" s="5"/>
    </row>
    <row r="231" spans="4:4">
      <c r="D231" s="5"/>
    </row>
    <row r="232" spans="4:4">
      <c r="D232" s="5"/>
    </row>
    <row r="233" spans="4:4">
      <c r="D233" s="5"/>
    </row>
    <row r="234" spans="4:4">
      <c r="D234" s="5"/>
    </row>
    <row r="235" spans="4:4">
      <c r="D235" s="5"/>
    </row>
    <row r="236" spans="4:4">
      <c r="D236" s="5"/>
    </row>
    <row r="237" spans="4:4">
      <c r="D237" s="5"/>
    </row>
    <row r="238" spans="4:4">
      <c r="D238" s="5"/>
    </row>
    <row r="239" spans="4:4">
      <c r="D239" s="5"/>
    </row>
    <row r="240" spans="4:4">
      <c r="D240" s="5"/>
    </row>
    <row r="241" spans="4:4">
      <c r="D241" s="5"/>
    </row>
    <row r="242" spans="4:4">
      <c r="D242" s="5"/>
    </row>
    <row r="243" spans="4:4">
      <c r="D243" s="5"/>
    </row>
    <row r="244" spans="4:4">
      <c r="D244" s="5"/>
    </row>
    <row r="245" spans="4:4">
      <c r="D245" s="5"/>
    </row>
    <row r="246" spans="4:4">
      <c r="D246" s="5"/>
    </row>
    <row r="247" spans="4:4">
      <c r="D247" s="5"/>
    </row>
    <row r="248" spans="4:4">
      <c r="D248" s="5"/>
    </row>
    <row r="249" spans="4:4">
      <c r="D249" s="5"/>
    </row>
    <row r="250" spans="4:4">
      <c r="D250" s="5"/>
    </row>
    <row r="251" spans="4:4">
      <c r="D251" s="5"/>
    </row>
    <row r="252" spans="4:4">
      <c r="D252" s="5"/>
    </row>
    <row r="253" spans="4:4">
      <c r="D253" s="5"/>
    </row>
    <row r="254" spans="4:4">
      <c r="D254" s="5"/>
    </row>
    <row r="255" spans="4:4">
      <c r="D255" s="5"/>
    </row>
    <row r="256" spans="4:4">
      <c r="D256" s="5"/>
    </row>
    <row r="257" spans="4:4">
      <c r="D257" s="5"/>
    </row>
    <row r="258" spans="4:4">
      <c r="D258" s="5"/>
    </row>
    <row r="259" spans="4:4">
      <c r="D259" s="5"/>
    </row>
    <row r="260" spans="4:4">
      <c r="D260" s="5"/>
    </row>
    <row r="261" spans="4:4">
      <c r="D261" s="5"/>
    </row>
    <row r="262" spans="4:4">
      <c r="D262" s="5"/>
    </row>
    <row r="263" spans="4:4">
      <c r="D263" s="5"/>
    </row>
    <row r="264" spans="4:4">
      <c r="D264" s="5"/>
    </row>
    <row r="265" spans="4:4">
      <c r="D265" s="5"/>
    </row>
    <row r="266" spans="4:4">
      <c r="D266" s="5"/>
    </row>
    <row r="267" spans="4:4">
      <c r="D267" s="5"/>
    </row>
    <row r="268" spans="4:4">
      <c r="D268" s="5"/>
    </row>
    <row r="269" spans="4:4">
      <c r="D269" s="5"/>
    </row>
    <row r="270" spans="4:4">
      <c r="D270" s="5"/>
    </row>
    <row r="271" spans="4:4">
      <c r="D271" s="5"/>
    </row>
    <row r="272" spans="4:4">
      <c r="D272" s="5"/>
    </row>
    <row r="273" spans="4:4">
      <c r="D273" s="5"/>
    </row>
    <row r="274" spans="4:4">
      <c r="D274" s="5"/>
    </row>
    <row r="275" spans="4:4">
      <c r="D275" s="5"/>
    </row>
    <row r="276" spans="4:4">
      <c r="D276" s="5"/>
    </row>
    <row r="277" spans="4:4">
      <c r="D277" s="5"/>
    </row>
    <row r="278" spans="4:4">
      <c r="D278" s="5"/>
    </row>
    <row r="279" spans="4:4">
      <c r="D279" s="5"/>
    </row>
    <row r="280" spans="4:4">
      <c r="D280" s="5"/>
    </row>
    <row r="281" spans="4:4">
      <c r="D281" s="5"/>
    </row>
    <row r="282" spans="4:4">
      <c r="D282" s="5"/>
    </row>
    <row r="283" spans="4:4">
      <c r="D283" s="5"/>
    </row>
    <row r="284" spans="4:4">
      <c r="D284" s="5"/>
    </row>
    <row r="285" spans="4:4">
      <c r="D285" s="5"/>
    </row>
    <row r="286" spans="4:4">
      <c r="D286" s="5"/>
    </row>
    <row r="287" spans="4:4">
      <c r="D287" s="5"/>
    </row>
    <row r="288" spans="4:4">
      <c r="D288" s="5"/>
    </row>
    <row r="289" spans="4:4">
      <c r="D289" s="5"/>
    </row>
    <row r="290" spans="4:4">
      <c r="D290" s="5"/>
    </row>
    <row r="291" spans="4:4">
      <c r="D291" s="5"/>
    </row>
    <row r="292" spans="4:4">
      <c r="D292" s="5"/>
    </row>
    <row r="293" spans="4:4">
      <c r="D293" s="5"/>
    </row>
    <row r="294" spans="4:4">
      <c r="D294" s="5"/>
    </row>
    <row r="295" spans="4:4">
      <c r="D295" s="5"/>
    </row>
    <row r="296" spans="4:4">
      <c r="D296" s="5"/>
    </row>
    <row r="297" spans="4:4">
      <c r="D297" s="5"/>
    </row>
    <row r="298" spans="4:4">
      <c r="D298" s="5"/>
    </row>
    <row r="299" spans="4:4">
      <c r="D299" s="5"/>
    </row>
    <row r="300" spans="4:4">
      <c r="D300" s="5"/>
    </row>
    <row r="301" spans="4:4">
      <c r="D301" s="5"/>
    </row>
    <row r="302" spans="4:4">
      <c r="D302" s="5"/>
    </row>
    <row r="303" spans="4:4">
      <c r="D303" s="5"/>
    </row>
    <row r="304" spans="4:4">
      <c r="D304" s="5"/>
    </row>
    <row r="305" spans="4:4">
      <c r="D305" s="5"/>
    </row>
    <row r="306" spans="4:4">
      <c r="D306" s="5"/>
    </row>
    <row r="307" spans="4:4">
      <c r="D307" s="5"/>
    </row>
    <row r="308" spans="4:4">
      <c r="D308" s="5"/>
    </row>
    <row r="309" spans="4:4">
      <c r="D309" s="5"/>
    </row>
    <row r="310" spans="4:4">
      <c r="D310" s="5"/>
    </row>
    <row r="311" spans="4:4">
      <c r="D311" s="5"/>
    </row>
    <row r="312" spans="4:4">
      <c r="D312" s="5"/>
    </row>
    <row r="313" spans="4:4">
      <c r="D313" s="5"/>
    </row>
    <row r="314" spans="4:4">
      <c r="D314" s="5"/>
    </row>
    <row r="315" spans="4:4">
      <c r="D315" s="5"/>
    </row>
    <row r="316" spans="4:4">
      <c r="D316" s="5"/>
    </row>
    <row r="317" spans="4:4">
      <c r="D317" s="5"/>
    </row>
    <row r="318" spans="4:4">
      <c r="D318" s="5"/>
    </row>
    <row r="319" spans="4:4">
      <c r="D319" s="5"/>
    </row>
    <row r="320" spans="4:4">
      <c r="D320" s="5"/>
    </row>
    <row r="321" spans="4:4">
      <c r="D321" s="5"/>
    </row>
    <row r="322" spans="4:4">
      <c r="D322" s="5"/>
    </row>
    <row r="323" spans="4:4">
      <c r="D323" s="5"/>
    </row>
    <row r="324" spans="4:4">
      <c r="D324" s="5"/>
    </row>
    <row r="325" spans="4:4">
      <c r="D325" s="5"/>
    </row>
    <row r="326" spans="4:4">
      <c r="D326" s="5"/>
    </row>
    <row r="327" spans="4:4">
      <c r="D327" s="5"/>
    </row>
    <row r="328" spans="4:4">
      <c r="D328" s="5"/>
    </row>
    <row r="329" spans="4:4">
      <c r="D329" s="5"/>
    </row>
    <row r="330" spans="4:4">
      <c r="D330" s="5"/>
    </row>
    <row r="331" spans="4:4">
      <c r="D331" s="5"/>
    </row>
    <row r="332" spans="4:4">
      <c r="D332" s="5"/>
    </row>
    <row r="333" spans="4:4">
      <c r="D333" s="5"/>
    </row>
    <row r="334" spans="4:4">
      <c r="D334" s="5"/>
    </row>
    <row r="335" spans="4:4">
      <c r="D335" s="5"/>
    </row>
    <row r="336" spans="4:4">
      <c r="D336" s="5"/>
    </row>
    <row r="337" spans="4:4">
      <c r="D337" s="5"/>
    </row>
    <row r="338" spans="4:4">
      <c r="D338" s="5"/>
    </row>
    <row r="339" spans="4:4">
      <c r="D339" s="5"/>
    </row>
    <row r="340" spans="4:4">
      <c r="D340" s="5"/>
    </row>
    <row r="341" spans="4:4">
      <c r="D341" s="5"/>
    </row>
    <row r="342" spans="4:4">
      <c r="D342" s="5"/>
    </row>
    <row r="343" spans="4:4">
      <c r="D343" s="5"/>
    </row>
    <row r="344" spans="4:4">
      <c r="D344" s="5"/>
    </row>
    <row r="345" spans="4:4">
      <c r="D345" s="5"/>
    </row>
    <row r="346" spans="4:4">
      <c r="D346" s="5"/>
    </row>
    <row r="347" spans="4:4">
      <c r="D347" s="5"/>
    </row>
    <row r="348" spans="4:4">
      <c r="D348" s="5"/>
    </row>
    <row r="349" spans="4:4">
      <c r="D349" s="5"/>
    </row>
    <row r="350" spans="4:4">
      <c r="D350" s="5"/>
    </row>
    <row r="351" spans="4:4">
      <c r="D351" s="5"/>
    </row>
    <row r="352" spans="4:4">
      <c r="D352" s="5"/>
    </row>
    <row r="353" spans="4:4">
      <c r="D353" s="5"/>
    </row>
    <row r="354" spans="4:4">
      <c r="D354" s="5"/>
    </row>
    <row r="355" spans="4:4">
      <c r="D355" s="5"/>
    </row>
    <row r="356" spans="4:4">
      <c r="D356" s="5"/>
    </row>
    <row r="357" spans="4:4">
      <c r="D357" s="5"/>
    </row>
    <row r="358" spans="4:4">
      <c r="D358" s="5"/>
    </row>
    <row r="359" spans="4:4">
      <c r="D359" s="5"/>
    </row>
    <row r="360" spans="4:4">
      <c r="D360" s="5"/>
    </row>
    <row r="361" spans="4:4">
      <c r="D361" s="5"/>
    </row>
    <row r="362" spans="4:4">
      <c r="D362" s="5"/>
    </row>
    <row r="363" spans="4:4">
      <c r="D363" s="5"/>
    </row>
    <row r="364" spans="4:4">
      <c r="D364" s="5"/>
    </row>
    <row r="365" spans="4:4">
      <c r="D365" s="5"/>
    </row>
    <row r="366" spans="4:4">
      <c r="D366" s="5"/>
    </row>
    <row r="367" spans="4:4">
      <c r="D367" s="5"/>
    </row>
    <row r="368" spans="4:4">
      <c r="D368" s="5"/>
    </row>
    <row r="369" spans="4:4">
      <c r="D369" s="5"/>
    </row>
    <row r="370" spans="4:4">
      <c r="D370" s="5"/>
    </row>
    <row r="371" spans="4:4">
      <c r="D371" s="5"/>
    </row>
    <row r="372" spans="4:4">
      <c r="D372" s="5"/>
    </row>
    <row r="373" spans="4:4">
      <c r="D373" s="5"/>
    </row>
    <row r="374" spans="4:4">
      <c r="D374" s="5"/>
    </row>
    <row r="375" spans="4:4">
      <c r="D375" s="5"/>
    </row>
    <row r="376" spans="4:4">
      <c r="D376" s="5"/>
    </row>
    <row r="377" spans="4:4">
      <c r="D377" s="5"/>
    </row>
    <row r="378" spans="4:4">
      <c r="D378" s="5"/>
    </row>
    <row r="379" spans="4:4">
      <c r="D379" s="5"/>
    </row>
    <row r="380" spans="4:4">
      <c r="D380" s="5"/>
    </row>
    <row r="381" spans="4:4">
      <c r="D381" s="5"/>
    </row>
    <row r="382" spans="4:4">
      <c r="D382" s="5"/>
    </row>
    <row r="383" spans="4:4">
      <c r="D383" s="5"/>
    </row>
  </sheetData>
  <mergeCells count="3">
    <mergeCell ref="A4:E4"/>
    <mergeCell ref="A5:E5"/>
    <mergeCell ref="A6:E6"/>
  </mergeCells>
  <phoneticPr fontId="5" type="noConversion"/>
  <pageMargins left="0.75" right="0.75" top="1" bottom="1" header="0.5" footer="0.5"/>
  <pageSetup scale="7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indexed="10"/>
    <pageSetUpPr fitToPage="1"/>
  </sheetPr>
  <dimension ref="A1:F386"/>
  <sheetViews>
    <sheetView workbookViewId="0">
      <selection activeCell="A4" sqref="A4:F4"/>
    </sheetView>
  </sheetViews>
  <sheetFormatPr defaultRowHeight="12.75"/>
  <cols>
    <col min="1" max="1" width="4.42578125" bestFit="1" customWidth="1"/>
    <col min="2" max="2" width="37.7109375" customWidth="1"/>
    <col min="3" max="3" width="17.42578125" style="16" bestFit="1" customWidth="1"/>
    <col min="4" max="4" width="17.5703125" bestFit="1" customWidth="1"/>
    <col min="5" max="5" width="16.5703125" bestFit="1" customWidth="1"/>
  </cols>
  <sheetData>
    <row r="1" spans="1:6">
      <c r="E1" t="str">
        <f>A!D1</f>
        <v>Docket No. RP16-299-000</v>
      </c>
    </row>
    <row r="2" spans="1:6">
      <c r="E2" t="s">
        <v>111</v>
      </c>
    </row>
    <row r="4" spans="1:6">
      <c r="A4" s="927" t="str">
        <f>E!A4</f>
        <v>Tuscarora Gas Transmission Company</v>
      </c>
      <c r="B4" s="927"/>
      <c r="C4" s="927"/>
      <c r="D4" s="927"/>
      <c r="E4" s="927"/>
      <c r="F4" s="927"/>
    </row>
    <row r="5" spans="1:6">
      <c r="A5" s="927" t="s">
        <v>112</v>
      </c>
      <c r="B5" s="927"/>
      <c r="C5" s="927"/>
      <c r="D5" s="927"/>
      <c r="E5" s="927"/>
      <c r="F5" s="927"/>
    </row>
    <row r="6" spans="1:6">
      <c r="A6" s="927"/>
      <c r="B6" s="927"/>
      <c r="C6" s="927"/>
      <c r="D6" s="927"/>
      <c r="E6" s="927"/>
      <c r="F6" s="927"/>
    </row>
    <row r="7" spans="1:6">
      <c r="A7" s="927"/>
      <c r="B7" s="927"/>
      <c r="C7" s="927"/>
      <c r="D7" s="927"/>
      <c r="E7" s="927"/>
      <c r="F7" s="927"/>
    </row>
    <row r="8" spans="1:6">
      <c r="F8" s="2"/>
    </row>
    <row r="9" spans="1:6">
      <c r="C9"/>
    </row>
    <row r="10" spans="1:6">
      <c r="B10" s="32"/>
      <c r="C10"/>
    </row>
    <row r="11" spans="1:6">
      <c r="B11" s="28"/>
      <c r="C11"/>
    </row>
    <row r="12" spans="1:6">
      <c r="B12" s="20" t="s">
        <v>179</v>
      </c>
      <c r="C12"/>
    </row>
    <row r="13" spans="1:6">
      <c r="B13" s="67"/>
      <c r="C13"/>
    </row>
    <row r="14" spans="1:6">
      <c r="B14" s="30"/>
      <c r="C14"/>
    </row>
    <row r="15" spans="1:6">
      <c r="B15" s="30"/>
      <c r="C15"/>
    </row>
    <row r="16" spans="1:6">
      <c r="B16" s="30"/>
      <c r="C16"/>
    </row>
    <row r="17" spans="2:4">
      <c r="B17" s="30"/>
      <c r="C17"/>
    </row>
    <row r="18" spans="2:4">
      <c r="B18" s="30"/>
      <c r="C18"/>
    </row>
    <row r="19" spans="2:4">
      <c r="B19" s="28"/>
      <c r="D19" s="5"/>
    </row>
    <row r="20" spans="2:4">
      <c r="B20" s="30"/>
      <c r="D20" s="5"/>
    </row>
    <row r="21" spans="2:4">
      <c r="B21" s="30"/>
      <c r="D21" s="5"/>
    </row>
    <row r="22" spans="2:4">
      <c r="B22" s="30"/>
      <c r="D22" s="5"/>
    </row>
    <row r="23" spans="2:4">
      <c r="B23" s="30"/>
      <c r="D23" s="5"/>
    </row>
    <row r="24" spans="2:4">
      <c r="B24" s="28"/>
      <c r="D24" s="5"/>
    </row>
    <row r="25" spans="2:4">
      <c r="B25" s="30"/>
      <c r="D25" s="5"/>
    </row>
    <row r="26" spans="2:4">
      <c r="B26" s="28"/>
      <c r="D26" s="5"/>
    </row>
    <row r="27" spans="2:4">
      <c r="B27" s="28"/>
      <c r="D27" s="5"/>
    </row>
    <row r="28" spans="2:4">
      <c r="B28" s="28"/>
      <c r="D28" s="5"/>
    </row>
    <row r="29" spans="2:4">
      <c r="B29" s="30"/>
      <c r="D29" s="5"/>
    </row>
    <row r="30" spans="2:4">
      <c r="B30" s="30"/>
      <c r="D30" s="5"/>
    </row>
    <row r="31" spans="2:4">
      <c r="B31" s="30"/>
      <c r="D31" s="5"/>
    </row>
    <row r="32" spans="2:4">
      <c r="B32" s="30"/>
      <c r="D32" s="5"/>
    </row>
    <row r="33" spans="2:4">
      <c r="B33" s="31"/>
      <c r="D33" s="5"/>
    </row>
    <row r="34" spans="2:4" ht="15.75">
      <c r="B34" s="25"/>
      <c r="D34" s="5"/>
    </row>
    <row r="35" spans="2:4">
      <c r="D35" s="5"/>
    </row>
    <row r="36" spans="2:4">
      <c r="D36" s="5"/>
    </row>
    <row r="37" spans="2:4">
      <c r="D37" s="5"/>
    </row>
    <row r="38" spans="2:4">
      <c r="D38" s="5"/>
    </row>
    <row r="39" spans="2:4">
      <c r="D39" s="5"/>
    </row>
    <row r="40" spans="2:4">
      <c r="D40" s="5"/>
    </row>
    <row r="41" spans="2:4">
      <c r="D41" s="5"/>
    </row>
    <row r="42" spans="2:4">
      <c r="D42" s="5"/>
    </row>
    <row r="43" spans="2:4">
      <c r="D43" s="5"/>
    </row>
    <row r="44" spans="2:4">
      <c r="D44" s="5"/>
    </row>
    <row r="45" spans="2:4">
      <c r="D45" s="5"/>
    </row>
    <row r="46" spans="2:4">
      <c r="D46" s="5"/>
    </row>
    <row r="47" spans="2:4">
      <c r="D47" s="5"/>
    </row>
    <row r="48" spans="2:4">
      <c r="D48" s="5"/>
    </row>
    <row r="49" spans="4:4">
      <c r="D49" s="5"/>
    </row>
    <row r="50" spans="4:4">
      <c r="D50" s="5"/>
    </row>
    <row r="51" spans="4:4">
      <c r="D51" s="5"/>
    </row>
    <row r="52" spans="4:4">
      <c r="D52" s="5"/>
    </row>
    <row r="53" spans="4:4">
      <c r="D53" s="5"/>
    </row>
    <row r="54" spans="4:4">
      <c r="D54" s="5"/>
    </row>
    <row r="55" spans="4:4">
      <c r="D55" s="5"/>
    </row>
    <row r="56" spans="4:4">
      <c r="D56" s="5"/>
    </row>
    <row r="57" spans="4:4">
      <c r="D57" s="5"/>
    </row>
    <row r="58" spans="4:4">
      <c r="D58" s="5"/>
    </row>
    <row r="59" spans="4:4">
      <c r="D59" s="5"/>
    </row>
    <row r="60" spans="4:4">
      <c r="D60" s="5"/>
    </row>
    <row r="61" spans="4:4">
      <c r="D61" s="5"/>
    </row>
    <row r="62" spans="4:4">
      <c r="D62" s="5"/>
    </row>
    <row r="63" spans="4:4">
      <c r="D63" s="5"/>
    </row>
    <row r="64" spans="4:4">
      <c r="D64" s="5"/>
    </row>
    <row r="65" spans="4:4">
      <c r="D65" s="5"/>
    </row>
    <row r="66" spans="4:4">
      <c r="D66" s="5"/>
    </row>
    <row r="67" spans="4:4">
      <c r="D67" s="5"/>
    </row>
    <row r="68" spans="4:4">
      <c r="D68" s="5"/>
    </row>
    <row r="69" spans="4:4">
      <c r="D69" s="5"/>
    </row>
    <row r="70" spans="4:4">
      <c r="D70" s="5"/>
    </row>
    <row r="71" spans="4:4">
      <c r="D71" s="5"/>
    </row>
    <row r="72" spans="4:4">
      <c r="D72" s="5"/>
    </row>
    <row r="73" spans="4:4">
      <c r="D73" s="5"/>
    </row>
    <row r="74" spans="4:4">
      <c r="D74" s="5"/>
    </row>
    <row r="75" spans="4:4">
      <c r="D75" s="5"/>
    </row>
    <row r="76" spans="4:4">
      <c r="D76" s="5"/>
    </row>
    <row r="77" spans="4:4">
      <c r="D77" s="5"/>
    </row>
    <row r="78" spans="4:4">
      <c r="D78" s="5"/>
    </row>
    <row r="79" spans="4:4">
      <c r="D79" s="5"/>
    </row>
    <row r="80" spans="4:4">
      <c r="D80" s="5"/>
    </row>
    <row r="81" spans="4:4">
      <c r="D81" s="5"/>
    </row>
    <row r="82" spans="4:4">
      <c r="D82" s="5"/>
    </row>
    <row r="83" spans="4:4">
      <c r="D83" s="5"/>
    </row>
    <row r="84" spans="4:4">
      <c r="D84" s="5"/>
    </row>
    <row r="85" spans="4:4">
      <c r="D85" s="5"/>
    </row>
    <row r="86" spans="4:4">
      <c r="D86" s="5"/>
    </row>
    <row r="87" spans="4:4">
      <c r="D87" s="5"/>
    </row>
    <row r="88" spans="4:4">
      <c r="D88" s="5"/>
    </row>
    <row r="89" spans="4:4">
      <c r="D89" s="5"/>
    </row>
    <row r="90" spans="4:4">
      <c r="D90" s="5"/>
    </row>
    <row r="91" spans="4:4">
      <c r="D91" s="5"/>
    </row>
    <row r="92" spans="4:4">
      <c r="D92" s="5"/>
    </row>
    <row r="93" spans="4:4">
      <c r="D93" s="5"/>
    </row>
    <row r="94" spans="4:4">
      <c r="D94" s="5"/>
    </row>
    <row r="95" spans="4:4">
      <c r="D95" s="5"/>
    </row>
    <row r="96" spans="4:4">
      <c r="D96" s="5"/>
    </row>
    <row r="97" spans="4:4">
      <c r="D97" s="5"/>
    </row>
    <row r="98" spans="4:4">
      <c r="D98" s="5"/>
    </row>
    <row r="99" spans="4:4">
      <c r="D99" s="5"/>
    </row>
    <row r="100" spans="4:4">
      <c r="D100" s="5"/>
    </row>
    <row r="101" spans="4:4">
      <c r="D101" s="5"/>
    </row>
    <row r="102" spans="4:4">
      <c r="D102" s="5"/>
    </row>
    <row r="103" spans="4:4">
      <c r="D103" s="5"/>
    </row>
    <row r="104" spans="4:4">
      <c r="D104" s="5"/>
    </row>
    <row r="105" spans="4:4">
      <c r="D105" s="5"/>
    </row>
    <row r="106" spans="4:4">
      <c r="D106" s="5"/>
    </row>
    <row r="107" spans="4:4">
      <c r="D107" s="5"/>
    </row>
    <row r="108" spans="4:4">
      <c r="D108" s="5"/>
    </row>
    <row r="109" spans="4:4">
      <c r="D109" s="5"/>
    </row>
    <row r="110" spans="4:4">
      <c r="D110" s="5"/>
    </row>
    <row r="111" spans="4:4">
      <c r="D111" s="5"/>
    </row>
    <row r="112" spans="4:4">
      <c r="D112" s="5"/>
    </row>
    <row r="113" spans="4:4">
      <c r="D113" s="5"/>
    </row>
    <row r="114" spans="4:4">
      <c r="D114" s="5"/>
    </row>
    <row r="115" spans="4:4">
      <c r="D115" s="5"/>
    </row>
    <row r="116" spans="4:4">
      <c r="D116" s="5"/>
    </row>
    <row r="117" spans="4:4">
      <c r="D117" s="5"/>
    </row>
    <row r="118" spans="4:4">
      <c r="D118" s="5"/>
    </row>
    <row r="119" spans="4:4">
      <c r="D119" s="5"/>
    </row>
    <row r="120" spans="4:4">
      <c r="D120" s="5"/>
    </row>
    <row r="121" spans="4:4">
      <c r="D121" s="5"/>
    </row>
    <row r="122" spans="4:4">
      <c r="D122" s="5"/>
    </row>
    <row r="123" spans="4:4">
      <c r="D123" s="5"/>
    </row>
    <row r="124" spans="4:4">
      <c r="D124" s="5"/>
    </row>
    <row r="125" spans="4:4">
      <c r="D125" s="5"/>
    </row>
    <row r="126" spans="4:4">
      <c r="D126" s="5"/>
    </row>
    <row r="127" spans="4:4">
      <c r="D127" s="5"/>
    </row>
    <row r="128" spans="4:4">
      <c r="D128" s="5"/>
    </row>
    <row r="129" spans="4:4">
      <c r="D129" s="5"/>
    </row>
    <row r="130" spans="4:4">
      <c r="D130" s="5"/>
    </row>
    <row r="131" spans="4:4">
      <c r="D131" s="5"/>
    </row>
    <row r="132" spans="4:4">
      <c r="D132" s="5"/>
    </row>
    <row r="133" spans="4:4">
      <c r="D133" s="5"/>
    </row>
    <row r="134" spans="4:4">
      <c r="D134" s="5"/>
    </row>
    <row r="135" spans="4:4">
      <c r="D135" s="5"/>
    </row>
    <row r="136" spans="4:4">
      <c r="D136" s="5"/>
    </row>
    <row r="137" spans="4:4">
      <c r="D137" s="5"/>
    </row>
    <row r="138" spans="4:4">
      <c r="D138" s="5"/>
    </row>
    <row r="139" spans="4:4">
      <c r="D139" s="5"/>
    </row>
    <row r="140" spans="4:4">
      <c r="D140" s="5"/>
    </row>
    <row r="141" spans="4:4">
      <c r="D141" s="5"/>
    </row>
    <row r="142" spans="4:4">
      <c r="D142" s="5"/>
    </row>
    <row r="143" spans="4:4">
      <c r="D143" s="5"/>
    </row>
    <row r="144" spans="4:4">
      <c r="D144" s="5"/>
    </row>
    <row r="145" spans="4:4">
      <c r="D145" s="5"/>
    </row>
    <row r="146" spans="4:4">
      <c r="D146" s="5"/>
    </row>
    <row r="147" spans="4:4">
      <c r="D147" s="5"/>
    </row>
    <row r="148" spans="4:4">
      <c r="D148" s="5"/>
    </row>
    <row r="149" spans="4:4">
      <c r="D149" s="5"/>
    </row>
    <row r="150" spans="4:4">
      <c r="D150" s="5"/>
    </row>
    <row r="151" spans="4:4">
      <c r="D151" s="5"/>
    </row>
    <row r="152" spans="4:4">
      <c r="D152" s="5"/>
    </row>
    <row r="153" spans="4:4">
      <c r="D153" s="5"/>
    </row>
    <row r="154" spans="4:4">
      <c r="D154" s="5"/>
    </row>
    <row r="155" spans="4:4">
      <c r="D155" s="5"/>
    </row>
    <row r="156" spans="4:4">
      <c r="D156" s="5"/>
    </row>
    <row r="157" spans="4:4">
      <c r="D157" s="5"/>
    </row>
    <row r="158" spans="4:4">
      <c r="D158" s="5"/>
    </row>
    <row r="159" spans="4:4">
      <c r="D159" s="5"/>
    </row>
    <row r="160" spans="4:4">
      <c r="D160" s="5"/>
    </row>
    <row r="161" spans="4:4">
      <c r="D161" s="5"/>
    </row>
    <row r="162" spans="4:4">
      <c r="D162" s="5"/>
    </row>
    <row r="163" spans="4:4">
      <c r="D163" s="5"/>
    </row>
    <row r="164" spans="4:4">
      <c r="D164" s="5"/>
    </row>
    <row r="165" spans="4:4">
      <c r="D165" s="5"/>
    </row>
    <row r="166" spans="4:4">
      <c r="D166" s="5"/>
    </row>
    <row r="167" spans="4:4">
      <c r="D167" s="5"/>
    </row>
    <row r="168" spans="4:4">
      <c r="D168" s="5"/>
    </row>
    <row r="169" spans="4:4">
      <c r="D169" s="5"/>
    </row>
    <row r="170" spans="4:4">
      <c r="D170" s="5"/>
    </row>
    <row r="171" spans="4:4">
      <c r="D171" s="5"/>
    </row>
    <row r="172" spans="4:4">
      <c r="D172" s="5"/>
    </row>
    <row r="173" spans="4:4">
      <c r="D173" s="5"/>
    </row>
    <row r="174" spans="4:4">
      <c r="D174" s="5"/>
    </row>
    <row r="175" spans="4:4">
      <c r="D175" s="5"/>
    </row>
    <row r="176" spans="4:4">
      <c r="D176" s="5"/>
    </row>
    <row r="177" spans="4:4">
      <c r="D177" s="5"/>
    </row>
    <row r="178" spans="4:4">
      <c r="D178" s="5"/>
    </row>
    <row r="179" spans="4:4">
      <c r="D179" s="5"/>
    </row>
    <row r="180" spans="4:4">
      <c r="D180" s="5"/>
    </row>
    <row r="181" spans="4:4">
      <c r="D181" s="5"/>
    </row>
    <row r="182" spans="4:4">
      <c r="D182" s="5"/>
    </row>
    <row r="183" spans="4:4">
      <c r="D183" s="5"/>
    </row>
    <row r="184" spans="4:4">
      <c r="D184" s="5"/>
    </row>
    <row r="185" spans="4:4">
      <c r="D185" s="5"/>
    </row>
    <row r="186" spans="4:4">
      <c r="D186" s="5"/>
    </row>
    <row r="187" spans="4:4">
      <c r="D187" s="5"/>
    </row>
    <row r="188" spans="4:4">
      <c r="D188" s="5"/>
    </row>
    <row r="189" spans="4:4">
      <c r="D189" s="5"/>
    </row>
    <row r="190" spans="4:4">
      <c r="D190" s="5"/>
    </row>
    <row r="191" spans="4:4">
      <c r="D191" s="5"/>
    </row>
    <row r="192" spans="4:4">
      <c r="D192" s="5"/>
    </row>
    <row r="193" spans="4:4">
      <c r="D193" s="5"/>
    </row>
    <row r="194" spans="4:4">
      <c r="D194" s="5"/>
    </row>
    <row r="195" spans="4:4">
      <c r="D195" s="5"/>
    </row>
    <row r="196" spans="4:4">
      <c r="D196" s="5"/>
    </row>
    <row r="197" spans="4:4">
      <c r="D197" s="5"/>
    </row>
    <row r="198" spans="4:4">
      <c r="D198" s="5"/>
    </row>
    <row r="199" spans="4:4">
      <c r="D199" s="5"/>
    </row>
    <row r="200" spans="4:4">
      <c r="D200" s="5"/>
    </row>
    <row r="201" spans="4:4">
      <c r="D201" s="5"/>
    </row>
    <row r="202" spans="4:4">
      <c r="D202" s="5"/>
    </row>
    <row r="203" spans="4:4">
      <c r="D203" s="5"/>
    </row>
    <row r="204" spans="4:4">
      <c r="D204" s="5"/>
    </row>
    <row r="205" spans="4:4">
      <c r="D205" s="5"/>
    </row>
    <row r="206" spans="4:4">
      <c r="D206" s="5"/>
    </row>
    <row r="207" spans="4:4">
      <c r="D207" s="5"/>
    </row>
    <row r="208" spans="4:4">
      <c r="D208" s="5"/>
    </row>
    <row r="209" spans="4:4">
      <c r="D209" s="5"/>
    </row>
    <row r="210" spans="4:4">
      <c r="D210" s="5"/>
    </row>
    <row r="211" spans="4:4">
      <c r="D211" s="5"/>
    </row>
    <row r="212" spans="4:4">
      <c r="D212" s="5"/>
    </row>
    <row r="213" spans="4:4">
      <c r="D213" s="5"/>
    </row>
    <row r="214" spans="4:4">
      <c r="D214" s="5"/>
    </row>
    <row r="215" spans="4:4">
      <c r="D215" s="5"/>
    </row>
    <row r="216" spans="4:4">
      <c r="D216" s="5"/>
    </row>
    <row r="217" spans="4:4">
      <c r="D217" s="5"/>
    </row>
    <row r="218" spans="4:4">
      <c r="D218" s="5"/>
    </row>
    <row r="219" spans="4:4">
      <c r="D219" s="5"/>
    </row>
    <row r="220" spans="4:4">
      <c r="D220" s="5"/>
    </row>
    <row r="221" spans="4:4">
      <c r="D221" s="5"/>
    </row>
    <row r="222" spans="4:4">
      <c r="D222" s="5"/>
    </row>
    <row r="223" spans="4:4">
      <c r="D223" s="5"/>
    </row>
    <row r="224" spans="4:4">
      <c r="D224" s="5"/>
    </row>
    <row r="225" spans="4:4">
      <c r="D225" s="5"/>
    </row>
    <row r="226" spans="4:4">
      <c r="D226" s="5"/>
    </row>
    <row r="227" spans="4:4">
      <c r="D227" s="5"/>
    </row>
    <row r="228" spans="4:4">
      <c r="D228" s="5"/>
    </row>
    <row r="229" spans="4:4">
      <c r="D229" s="5"/>
    </row>
    <row r="230" spans="4:4">
      <c r="D230" s="5"/>
    </row>
    <row r="231" spans="4:4">
      <c r="D231" s="5"/>
    </row>
    <row r="232" spans="4:4">
      <c r="D232" s="5"/>
    </row>
    <row r="233" spans="4:4">
      <c r="D233" s="5"/>
    </row>
    <row r="234" spans="4:4">
      <c r="D234" s="5"/>
    </row>
    <row r="235" spans="4:4">
      <c r="D235" s="5"/>
    </row>
    <row r="236" spans="4:4">
      <c r="D236" s="5"/>
    </row>
    <row r="237" spans="4:4">
      <c r="D237" s="5"/>
    </row>
    <row r="238" spans="4:4">
      <c r="D238" s="5"/>
    </row>
    <row r="239" spans="4:4">
      <c r="D239" s="5"/>
    </row>
    <row r="240" spans="4:4">
      <c r="D240" s="5"/>
    </row>
    <row r="241" spans="4:4">
      <c r="D241" s="5"/>
    </row>
    <row r="242" spans="4:4">
      <c r="D242" s="5"/>
    </row>
    <row r="243" spans="4:4">
      <c r="D243" s="5"/>
    </row>
    <row r="244" spans="4:4">
      <c r="D244" s="5"/>
    </row>
    <row r="245" spans="4:4">
      <c r="D245" s="5"/>
    </row>
    <row r="246" spans="4:4">
      <c r="D246" s="5"/>
    </row>
    <row r="247" spans="4:4">
      <c r="D247" s="5"/>
    </row>
    <row r="248" spans="4:4">
      <c r="D248" s="5"/>
    </row>
    <row r="249" spans="4:4">
      <c r="D249" s="5"/>
    </row>
    <row r="250" spans="4:4">
      <c r="D250" s="5"/>
    </row>
    <row r="251" spans="4:4">
      <c r="D251" s="5"/>
    </row>
    <row r="252" spans="4:4">
      <c r="D252" s="5"/>
    </row>
    <row r="253" spans="4:4">
      <c r="D253" s="5"/>
    </row>
    <row r="254" spans="4:4">
      <c r="D254" s="5"/>
    </row>
    <row r="255" spans="4:4">
      <c r="D255" s="5"/>
    </row>
    <row r="256" spans="4:4">
      <c r="D256" s="5"/>
    </row>
    <row r="257" spans="4:4">
      <c r="D257" s="5"/>
    </row>
    <row r="258" spans="4:4">
      <c r="D258" s="5"/>
    </row>
    <row r="259" spans="4:4">
      <c r="D259" s="5"/>
    </row>
    <row r="260" spans="4:4">
      <c r="D260" s="5"/>
    </row>
    <row r="261" spans="4:4">
      <c r="D261" s="5"/>
    </row>
    <row r="262" spans="4:4">
      <c r="D262" s="5"/>
    </row>
    <row r="263" spans="4:4">
      <c r="D263" s="5"/>
    </row>
    <row r="264" spans="4:4">
      <c r="D264" s="5"/>
    </row>
    <row r="265" spans="4:4">
      <c r="D265" s="5"/>
    </row>
    <row r="266" spans="4:4">
      <c r="D266" s="5"/>
    </row>
    <row r="267" spans="4:4">
      <c r="D267" s="5"/>
    </row>
    <row r="268" spans="4:4">
      <c r="D268" s="5"/>
    </row>
    <row r="269" spans="4:4">
      <c r="D269" s="5"/>
    </row>
    <row r="270" spans="4:4">
      <c r="D270" s="5"/>
    </row>
    <row r="271" spans="4:4">
      <c r="D271" s="5"/>
    </row>
    <row r="272" spans="4:4">
      <c r="D272" s="5"/>
    </row>
    <row r="273" spans="4:4">
      <c r="D273" s="5"/>
    </row>
    <row r="274" spans="4:4">
      <c r="D274" s="5"/>
    </row>
    <row r="275" spans="4:4">
      <c r="D275" s="5"/>
    </row>
    <row r="276" spans="4:4">
      <c r="D276" s="5"/>
    </row>
    <row r="277" spans="4:4">
      <c r="D277" s="5"/>
    </row>
    <row r="278" spans="4:4">
      <c r="D278" s="5"/>
    </row>
    <row r="279" spans="4:4">
      <c r="D279" s="5"/>
    </row>
    <row r="280" spans="4:4">
      <c r="D280" s="5"/>
    </row>
    <row r="281" spans="4:4">
      <c r="D281" s="5"/>
    </row>
    <row r="282" spans="4:4">
      <c r="D282" s="5"/>
    </row>
    <row r="283" spans="4:4">
      <c r="D283" s="5"/>
    </row>
    <row r="284" spans="4:4">
      <c r="D284" s="5"/>
    </row>
    <row r="285" spans="4:4">
      <c r="D285" s="5"/>
    </row>
    <row r="286" spans="4:4">
      <c r="D286" s="5"/>
    </row>
    <row r="287" spans="4:4">
      <c r="D287" s="5"/>
    </row>
    <row r="288" spans="4:4">
      <c r="D288" s="5"/>
    </row>
    <row r="289" spans="4:4">
      <c r="D289" s="5"/>
    </row>
    <row r="290" spans="4:4">
      <c r="D290" s="5"/>
    </row>
    <row r="291" spans="4:4">
      <c r="D291" s="5"/>
    </row>
    <row r="292" spans="4:4">
      <c r="D292" s="5"/>
    </row>
    <row r="293" spans="4:4">
      <c r="D293" s="5"/>
    </row>
    <row r="294" spans="4:4">
      <c r="D294" s="5"/>
    </row>
    <row r="295" spans="4:4">
      <c r="D295" s="5"/>
    </row>
    <row r="296" spans="4:4">
      <c r="D296" s="5"/>
    </row>
    <row r="297" spans="4:4">
      <c r="D297" s="5"/>
    </row>
    <row r="298" spans="4:4">
      <c r="D298" s="5"/>
    </row>
    <row r="299" spans="4:4">
      <c r="D299" s="5"/>
    </row>
    <row r="300" spans="4:4">
      <c r="D300" s="5"/>
    </row>
    <row r="301" spans="4:4">
      <c r="D301" s="5"/>
    </row>
    <row r="302" spans="4:4">
      <c r="D302" s="5"/>
    </row>
    <row r="303" spans="4:4">
      <c r="D303" s="5"/>
    </row>
    <row r="304" spans="4:4">
      <c r="D304" s="5"/>
    </row>
    <row r="305" spans="4:4">
      <c r="D305" s="5"/>
    </row>
    <row r="306" spans="4:4">
      <c r="D306" s="5"/>
    </row>
    <row r="307" spans="4:4">
      <c r="D307" s="5"/>
    </row>
    <row r="308" spans="4:4">
      <c r="D308" s="5"/>
    </row>
    <row r="309" spans="4:4">
      <c r="D309" s="5"/>
    </row>
    <row r="310" spans="4:4">
      <c r="D310" s="5"/>
    </row>
    <row r="311" spans="4:4">
      <c r="D311" s="5"/>
    </row>
    <row r="312" spans="4:4">
      <c r="D312" s="5"/>
    </row>
    <row r="313" spans="4:4">
      <c r="D313" s="5"/>
    </row>
    <row r="314" spans="4:4">
      <c r="D314" s="5"/>
    </row>
    <row r="315" spans="4:4">
      <c r="D315" s="5"/>
    </row>
    <row r="316" spans="4:4">
      <c r="D316" s="5"/>
    </row>
    <row r="317" spans="4:4">
      <c r="D317" s="5"/>
    </row>
    <row r="318" spans="4:4">
      <c r="D318" s="5"/>
    </row>
    <row r="319" spans="4:4">
      <c r="D319" s="5"/>
    </row>
    <row r="320" spans="4:4">
      <c r="D320" s="5"/>
    </row>
    <row r="321" spans="4:4">
      <c r="D321" s="5"/>
    </row>
    <row r="322" spans="4:4">
      <c r="D322" s="5"/>
    </row>
    <row r="323" spans="4:4">
      <c r="D323" s="5"/>
    </row>
    <row r="324" spans="4:4">
      <c r="D324" s="5"/>
    </row>
    <row r="325" spans="4:4">
      <c r="D325" s="5"/>
    </row>
    <row r="326" spans="4:4">
      <c r="D326" s="5"/>
    </row>
    <row r="327" spans="4:4">
      <c r="D327" s="5"/>
    </row>
    <row r="328" spans="4:4">
      <c r="D328" s="5"/>
    </row>
    <row r="329" spans="4:4">
      <c r="D329" s="5"/>
    </row>
    <row r="330" spans="4:4">
      <c r="D330" s="5"/>
    </row>
    <row r="331" spans="4:4">
      <c r="D331" s="5"/>
    </row>
    <row r="332" spans="4:4">
      <c r="D332" s="5"/>
    </row>
    <row r="333" spans="4:4">
      <c r="D333" s="5"/>
    </row>
    <row r="334" spans="4:4">
      <c r="D334" s="5"/>
    </row>
    <row r="335" spans="4:4">
      <c r="D335" s="5"/>
    </row>
    <row r="336" spans="4:4">
      <c r="D336" s="5"/>
    </row>
    <row r="337" spans="4:4">
      <c r="D337" s="5"/>
    </row>
    <row r="338" spans="4:4">
      <c r="D338" s="5"/>
    </row>
    <row r="339" spans="4:4">
      <c r="D339" s="5"/>
    </row>
    <row r="340" spans="4:4">
      <c r="D340" s="5"/>
    </row>
    <row r="341" spans="4:4">
      <c r="D341" s="5"/>
    </row>
    <row r="342" spans="4:4">
      <c r="D342" s="5"/>
    </row>
    <row r="343" spans="4:4">
      <c r="D343" s="5"/>
    </row>
    <row r="344" spans="4:4">
      <c r="D344" s="5"/>
    </row>
    <row r="345" spans="4:4">
      <c r="D345" s="5"/>
    </row>
    <row r="346" spans="4:4">
      <c r="D346" s="5"/>
    </row>
    <row r="347" spans="4:4">
      <c r="D347" s="5"/>
    </row>
    <row r="348" spans="4:4">
      <c r="D348" s="5"/>
    </row>
    <row r="349" spans="4:4">
      <c r="D349" s="5"/>
    </row>
    <row r="350" spans="4:4">
      <c r="D350" s="5"/>
    </row>
    <row r="351" spans="4:4">
      <c r="D351" s="5"/>
    </row>
    <row r="352" spans="4:4">
      <c r="D352" s="5"/>
    </row>
    <row r="353" spans="4:4">
      <c r="D353" s="5"/>
    </row>
    <row r="354" spans="4:4">
      <c r="D354" s="5"/>
    </row>
    <row r="355" spans="4:4">
      <c r="D355" s="5"/>
    </row>
    <row r="356" spans="4:4">
      <c r="D356" s="5"/>
    </row>
    <row r="357" spans="4:4">
      <c r="D357" s="5"/>
    </row>
    <row r="358" spans="4:4">
      <c r="D358" s="5"/>
    </row>
    <row r="359" spans="4:4">
      <c r="D359" s="5"/>
    </row>
    <row r="360" spans="4:4">
      <c r="D360" s="5"/>
    </row>
    <row r="361" spans="4:4">
      <c r="D361" s="5"/>
    </row>
    <row r="362" spans="4:4">
      <c r="D362" s="5"/>
    </row>
    <row r="363" spans="4:4">
      <c r="D363" s="5"/>
    </row>
    <row r="364" spans="4:4">
      <c r="D364" s="5"/>
    </row>
    <row r="365" spans="4:4">
      <c r="D365" s="5"/>
    </row>
    <row r="366" spans="4:4">
      <c r="D366" s="5"/>
    </row>
    <row r="367" spans="4:4">
      <c r="D367" s="5"/>
    </row>
    <row r="368" spans="4:4">
      <c r="D368" s="5"/>
    </row>
    <row r="369" spans="4:4">
      <c r="D369" s="5"/>
    </row>
    <row r="370" spans="4:4">
      <c r="D370" s="5"/>
    </row>
    <row r="371" spans="4:4">
      <c r="D371" s="5"/>
    </row>
    <row r="372" spans="4:4">
      <c r="D372" s="5"/>
    </row>
    <row r="373" spans="4:4">
      <c r="D373" s="5"/>
    </row>
    <row r="374" spans="4:4">
      <c r="D374" s="5"/>
    </row>
    <row r="375" spans="4:4">
      <c r="D375" s="5"/>
    </row>
    <row r="376" spans="4:4">
      <c r="D376" s="5"/>
    </row>
    <row r="377" spans="4:4">
      <c r="D377" s="5"/>
    </row>
    <row r="378" spans="4:4">
      <c r="D378" s="5"/>
    </row>
    <row r="379" spans="4:4">
      <c r="D379" s="5"/>
    </row>
    <row r="380" spans="4:4">
      <c r="D380" s="5"/>
    </row>
    <row r="381" spans="4:4">
      <c r="D381" s="5"/>
    </row>
    <row r="382" spans="4:4">
      <c r="D382" s="5"/>
    </row>
    <row r="383" spans="4:4">
      <c r="D383" s="5"/>
    </row>
    <row r="384" spans="4:4">
      <c r="D384" s="5"/>
    </row>
    <row r="385" spans="4:4">
      <c r="D385" s="5"/>
    </row>
    <row r="386" spans="4:4">
      <c r="D386" s="5"/>
    </row>
  </sheetData>
  <mergeCells count="4">
    <mergeCell ref="A4:F4"/>
    <mergeCell ref="A5:F5"/>
    <mergeCell ref="A6:F6"/>
    <mergeCell ref="A7:F7"/>
  </mergeCells>
  <phoneticPr fontId="5" type="noConversion"/>
  <pageMargins left="0.75" right="0.75" top="1" bottom="1" header="0.5" footer="0.5"/>
  <pageSetup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1058"/>
  <sheetViews>
    <sheetView topLeftCell="A10" zoomScaleNormal="100" workbookViewId="0">
      <selection activeCell="B34" sqref="B34"/>
    </sheetView>
  </sheetViews>
  <sheetFormatPr defaultRowHeight="12.75"/>
  <cols>
    <col min="1" max="1" width="19.5703125" bestFit="1" customWidth="1"/>
    <col min="2" max="2" width="55" style="11" bestFit="1" customWidth="1"/>
  </cols>
  <sheetData>
    <row r="1" spans="1:3">
      <c r="A1" s="65" t="s">
        <v>432</v>
      </c>
    </row>
    <row r="2" spans="1:3">
      <c r="A2" s="65"/>
    </row>
    <row r="3" spans="1:3">
      <c r="B3" s="64" t="s">
        <v>433</v>
      </c>
    </row>
    <row r="5" spans="1:3">
      <c r="A5" s="51" t="s">
        <v>354</v>
      </c>
      <c r="B5" s="64" t="s">
        <v>239</v>
      </c>
    </row>
    <row r="6" spans="1:3">
      <c r="A6" t="s">
        <v>237</v>
      </c>
      <c r="B6" s="11" t="s">
        <v>658</v>
      </c>
    </row>
    <row r="7" spans="1:3">
      <c r="A7" t="s">
        <v>238</v>
      </c>
      <c r="B7" s="11" t="s">
        <v>756</v>
      </c>
    </row>
    <row r="8" spans="1:3">
      <c r="A8" t="s">
        <v>240</v>
      </c>
      <c r="B8" s="22" t="s">
        <v>757</v>
      </c>
    </row>
    <row r="9" spans="1:3">
      <c r="A9" t="s">
        <v>241</v>
      </c>
      <c r="B9" s="22" t="s">
        <v>765</v>
      </c>
      <c r="C9" s="331"/>
    </row>
    <row r="10" spans="1:3">
      <c r="A10" t="s">
        <v>125</v>
      </c>
      <c r="B10" s="22" t="s">
        <v>758</v>
      </c>
      <c r="C10" s="331"/>
    </row>
    <row r="11" spans="1:3">
      <c r="A11" t="s">
        <v>24</v>
      </c>
      <c r="B11" s="22" t="s">
        <v>759</v>
      </c>
    </row>
    <row r="12" spans="1:3">
      <c r="A12" t="s">
        <v>93</v>
      </c>
      <c r="B12" s="26">
        <v>42369</v>
      </c>
    </row>
    <row r="13" spans="1:3">
      <c r="A13" t="s">
        <v>94</v>
      </c>
      <c r="B13" s="26">
        <v>42004</v>
      </c>
    </row>
    <row r="14" spans="1:3">
      <c r="A14" t="s">
        <v>760</v>
      </c>
      <c r="B14" s="26">
        <v>42551</v>
      </c>
      <c r="C14" s="331"/>
    </row>
    <row r="15" spans="1:3">
      <c r="A15" s="10"/>
    </row>
    <row r="16" spans="1:3">
      <c r="A16" s="10" t="s">
        <v>126</v>
      </c>
      <c r="B16" s="11" t="s">
        <v>761</v>
      </c>
    </row>
    <row r="17" spans="1:2">
      <c r="A17">
        <v>2</v>
      </c>
      <c r="B17" s="11" t="s">
        <v>117</v>
      </c>
    </row>
    <row r="18" spans="1:2">
      <c r="A18">
        <v>3</v>
      </c>
      <c r="B18" s="11" t="s">
        <v>118</v>
      </c>
    </row>
    <row r="19" spans="1:2">
      <c r="A19">
        <v>4</v>
      </c>
      <c r="B19" s="11" t="s">
        <v>119</v>
      </c>
    </row>
    <row r="20" spans="1:2">
      <c r="A20">
        <v>5</v>
      </c>
      <c r="B20" s="11" t="s">
        <v>664</v>
      </c>
    </row>
    <row r="21" spans="1:2">
      <c r="A21">
        <v>6</v>
      </c>
      <c r="B21" s="11" t="s">
        <v>120</v>
      </c>
    </row>
    <row r="22" spans="1:2">
      <c r="A22">
        <v>7</v>
      </c>
      <c r="B22" s="11" t="s">
        <v>121</v>
      </c>
    </row>
    <row r="23" spans="1:2">
      <c r="A23">
        <v>8</v>
      </c>
      <c r="B23" s="11" t="s">
        <v>122</v>
      </c>
    </row>
    <row r="24" spans="1:2">
      <c r="A24">
        <v>9</v>
      </c>
      <c r="B24" s="11" t="s">
        <v>123</v>
      </c>
    </row>
    <row r="25" spans="1:2">
      <c r="A25">
        <v>10</v>
      </c>
      <c r="B25" s="11" t="s">
        <v>504</v>
      </c>
    </row>
    <row r="26" spans="1:2">
      <c r="A26">
        <v>11</v>
      </c>
      <c r="B26" s="11" t="s">
        <v>124</v>
      </c>
    </row>
    <row r="27" spans="1:2">
      <c r="A27">
        <v>12</v>
      </c>
      <c r="B27" s="11" t="s">
        <v>447</v>
      </c>
    </row>
    <row r="29" spans="1:2">
      <c r="A29" s="51" t="s">
        <v>194</v>
      </c>
    </row>
    <row r="30" spans="1:2">
      <c r="A30" t="s">
        <v>77</v>
      </c>
      <c r="B30" s="11" t="s">
        <v>78</v>
      </c>
    </row>
    <row r="31" spans="1:2">
      <c r="A31" t="s">
        <v>323</v>
      </c>
      <c r="B31" s="11" t="s">
        <v>79</v>
      </c>
    </row>
    <row r="32" spans="1:2">
      <c r="A32" t="s">
        <v>80</v>
      </c>
      <c r="B32" s="11" t="s">
        <v>81</v>
      </c>
    </row>
    <row r="34" spans="1:10">
      <c r="A34" t="s">
        <v>508</v>
      </c>
      <c r="B34" s="52">
        <f>ROUND('F-2'!I14,4)</f>
        <v>1.06E-2</v>
      </c>
      <c r="C34" s="618"/>
    </row>
    <row r="35" spans="1:10">
      <c r="A35" t="s">
        <v>509</v>
      </c>
      <c r="B35" s="52">
        <f>ROUND('F-2'!I15,4)</f>
        <v>0.1018</v>
      </c>
      <c r="C35" s="618"/>
    </row>
    <row r="39" spans="1:10">
      <c r="A39" s="260" t="s">
        <v>216</v>
      </c>
      <c r="B39" s="261" t="s">
        <v>762</v>
      </c>
      <c r="C39" s="262"/>
      <c r="D39" s="262"/>
      <c r="E39" s="262"/>
      <c r="F39" s="262"/>
      <c r="G39" s="262"/>
      <c r="H39" s="262"/>
      <c r="I39" s="262"/>
      <c r="J39" s="262"/>
    </row>
    <row r="40" spans="1:10">
      <c r="A40" s="262"/>
      <c r="B40" s="262"/>
      <c r="C40" s="262"/>
      <c r="D40" s="262"/>
      <c r="E40" s="262"/>
      <c r="F40" s="262"/>
      <c r="G40" s="262"/>
      <c r="H40" s="262"/>
      <c r="I40" s="262"/>
      <c r="J40" s="262"/>
    </row>
    <row r="41" spans="1:10">
      <c r="A41" s="260" t="s">
        <v>217</v>
      </c>
      <c r="B41" s="261" t="s">
        <v>763</v>
      </c>
      <c r="C41" s="262"/>
      <c r="D41" s="262"/>
      <c r="E41" s="262"/>
      <c r="F41" s="262"/>
      <c r="G41" s="262"/>
      <c r="H41" s="262"/>
      <c r="I41" s="262"/>
      <c r="J41" s="262"/>
    </row>
    <row r="42" spans="1:10">
      <c r="A42" s="262"/>
      <c r="B42" s="262"/>
      <c r="C42" s="262"/>
      <c r="D42" s="262"/>
      <c r="E42" s="262"/>
      <c r="F42" s="262"/>
      <c r="G42" s="262"/>
      <c r="H42" s="262"/>
      <c r="I42" s="262"/>
      <c r="J42" s="262"/>
    </row>
    <row r="43" spans="1:10">
      <c r="A43" s="260" t="s">
        <v>218</v>
      </c>
      <c r="B43" s="261" t="s">
        <v>219</v>
      </c>
      <c r="C43" s="262"/>
      <c r="D43" s="262"/>
      <c r="E43" s="262"/>
      <c r="F43" s="262"/>
      <c r="G43" s="262"/>
      <c r="H43" s="262"/>
      <c r="I43" s="262"/>
      <c r="J43" s="262"/>
    </row>
    <row r="44" spans="1:10">
      <c r="A44" s="260"/>
      <c r="B44" s="261" t="s">
        <v>220</v>
      </c>
      <c r="C44" s="262"/>
      <c r="D44" s="262"/>
      <c r="E44" s="262"/>
      <c r="F44" s="262"/>
      <c r="G44" s="262"/>
      <c r="H44" s="262"/>
      <c r="I44" s="262"/>
      <c r="J44" s="262"/>
    </row>
    <row r="45" spans="1:10">
      <c r="A45" s="260"/>
      <c r="B45" s="257" t="s">
        <v>221</v>
      </c>
      <c r="C45" s="201" t="s">
        <v>226</v>
      </c>
      <c r="D45" s="262"/>
      <c r="E45" s="262"/>
      <c r="F45" s="262"/>
      <c r="G45" s="262"/>
      <c r="H45" s="262"/>
      <c r="I45" s="262"/>
      <c r="J45" s="262"/>
    </row>
    <row r="46" spans="1:10">
      <c r="A46" s="260"/>
      <c r="B46" s="258" t="s">
        <v>222</v>
      </c>
      <c r="C46" s="201" t="s">
        <v>687</v>
      </c>
      <c r="D46" s="262"/>
      <c r="E46" s="262"/>
      <c r="F46" s="262"/>
      <c r="G46" s="262"/>
      <c r="H46" s="262"/>
      <c r="I46" s="262"/>
      <c r="J46" s="262"/>
    </row>
    <row r="47" spans="1:10">
      <c r="A47" s="260"/>
      <c r="B47" s="259" t="s">
        <v>224</v>
      </c>
      <c r="C47" s="201" t="s">
        <v>225</v>
      </c>
      <c r="D47" s="262"/>
      <c r="E47" s="262"/>
      <c r="F47" s="262"/>
      <c r="G47" s="262"/>
      <c r="H47" s="262"/>
      <c r="I47" s="262"/>
      <c r="J47" s="262"/>
    </row>
    <row r="48" spans="1:10">
      <c r="A48" s="260"/>
      <c r="B48" s="263" t="s">
        <v>227</v>
      </c>
      <c r="C48" s="201"/>
      <c r="D48" s="262"/>
      <c r="E48" s="262"/>
      <c r="F48" s="262"/>
      <c r="G48" s="262"/>
      <c r="H48" s="262"/>
      <c r="I48" s="262"/>
      <c r="J48" s="262"/>
    </row>
    <row r="49" spans="1:10">
      <c r="A49" s="260"/>
      <c r="B49" s="264" t="s">
        <v>223</v>
      </c>
      <c r="C49" s="261" t="s">
        <v>229</v>
      </c>
      <c r="D49" s="262"/>
      <c r="E49" s="262"/>
      <c r="F49" s="262"/>
      <c r="G49" s="262"/>
      <c r="H49" s="262"/>
      <c r="I49" s="262"/>
      <c r="J49" s="262"/>
    </row>
    <row r="50" spans="1:10">
      <c r="A50" s="260"/>
      <c r="B50" s="265" t="s">
        <v>221</v>
      </c>
      <c r="C50" s="261" t="s">
        <v>230</v>
      </c>
      <c r="D50" s="262"/>
      <c r="E50" s="262"/>
      <c r="F50" s="262"/>
      <c r="G50" s="262"/>
      <c r="H50" s="262"/>
      <c r="I50" s="262"/>
      <c r="J50" s="262"/>
    </row>
    <row r="51" spans="1:10">
      <c r="A51" s="260"/>
      <c r="B51" s="261" t="s">
        <v>228</v>
      </c>
      <c r="C51" s="261" t="s">
        <v>231</v>
      </c>
      <c r="D51" s="262"/>
      <c r="E51" s="262"/>
      <c r="F51" s="262"/>
      <c r="G51" s="262"/>
      <c r="H51" s="262"/>
      <c r="I51" s="262"/>
      <c r="J51" s="262"/>
    </row>
    <row r="52" spans="1:10">
      <c r="A52" s="260"/>
      <c r="B52" s="264"/>
      <c r="C52" s="261" t="s">
        <v>596</v>
      </c>
      <c r="D52" s="262"/>
      <c r="E52" s="262"/>
      <c r="F52" s="262"/>
      <c r="G52" s="262"/>
      <c r="H52" s="262"/>
      <c r="I52" s="262"/>
      <c r="J52" s="262"/>
    </row>
    <row r="53" spans="1:10">
      <c r="A53" s="260"/>
      <c r="B53" s="261"/>
      <c r="C53" s="262"/>
      <c r="D53" s="262"/>
      <c r="E53" s="262"/>
      <c r="F53" s="262"/>
      <c r="G53" s="262"/>
      <c r="H53" s="262"/>
      <c r="I53" s="262"/>
      <c r="J53" s="262"/>
    </row>
    <row r="54" spans="1:10">
      <c r="A54" s="262"/>
      <c r="B54" s="262"/>
      <c r="C54" s="262"/>
      <c r="D54" s="262"/>
      <c r="E54" s="262"/>
      <c r="F54" s="262"/>
      <c r="G54" s="262"/>
      <c r="H54" s="262"/>
      <c r="I54" s="262"/>
      <c r="J54" s="262"/>
    </row>
    <row r="55" spans="1:10">
      <c r="B55" s="72"/>
    </row>
    <row r="56" spans="1:10">
      <c r="B56" s="72"/>
    </row>
    <row r="57" spans="1:10">
      <c r="B57" s="72"/>
    </row>
    <row r="58" spans="1:10">
      <c r="B58" s="72"/>
    </row>
    <row r="59" spans="1:10">
      <c r="B59" s="72"/>
    </row>
    <row r="60" spans="1:10">
      <c r="B60" s="72"/>
    </row>
    <row r="61" spans="1:10">
      <c r="B61" s="72"/>
    </row>
    <row r="62" spans="1:10">
      <c r="B62" s="72"/>
    </row>
    <row r="63" spans="1:10">
      <c r="B63" s="72"/>
    </row>
    <row r="64" spans="1:10">
      <c r="B64" s="72"/>
    </row>
    <row r="65" spans="2:2">
      <c r="B65" s="72"/>
    </row>
    <row r="66" spans="2:2">
      <c r="B66" s="72"/>
    </row>
    <row r="67" spans="2:2">
      <c r="B67" s="72"/>
    </row>
    <row r="68" spans="2:2">
      <c r="B68" s="72"/>
    </row>
    <row r="69" spans="2:2">
      <c r="B69" s="72"/>
    </row>
    <row r="70" spans="2:2">
      <c r="B70" s="72"/>
    </row>
    <row r="71" spans="2:2">
      <c r="B71" s="72"/>
    </row>
    <row r="72" spans="2:2">
      <c r="B72" s="72"/>
    </row>
    <row r="73" spans="2:2">
      <c r="B73" s="72"/>
    </row>
    <row r="74" spans="2:2">
      <c r="B74" s="72"/>
    </row>
    <row r="75" spans="2:2">
      <c r="B75" s="72"/>
    </row>
    <row r="76" spans="2:2">
      <c r="B76" s="72"/>
    </row>
    <row r="77" spans="2:2">
      <c r="B77" s="72"/>
    </row>
    <row r="78" spans="2:2">
      <c r="B78" s="72"/>
    </row>
    <row r="79" spans="2:2">
      <c r="B79" s="72"/>
    </row>
    <row r="80" spans="2:2">
      <c r="B80" s="72"/>
    </row>
    <row r="81" spans="2:2">
      <c r="B81" s="72"/>
    </row>
    <row r="82" spans="2:2">
      <c r="B82" s="72"/>
    </row>
    <row r="83" spans="2:2">
      <c r="B83" s="72"/>
    </row>
    <row r="84" spans="2:2">
      <c r="B84" s="72"/>
    </row>
    <row r="85" spans="2:2">
      <c r="B85" s="72"/>
    </row>
    <row r="86" spans="2:2">
      <c r="B86" s="72"/>
    </row>
    <row r="87" spans="2:2">
      <c r="B87" s="72"/>
    </row>
    <row r="88" spans="2:2">
      <c r="B88" s="72"/>
    </row>
    <row r="89" spans="2:2">
      <c r="B89" s="72"/>
    </row>
    <row r="90" spans="2:2">
      <c r="B90" s="72"/>
    </row>
    <row r="91" spans="2:2">
      <c r="B91" s="72"/>
    </row>
    <row r="92" spans="2:2">
      <c r="B92" s="72"/>
    </row>
    <row r="93" spans="2:2">
      <c r="B93" s="72"/>
    </row>
    <row r="94" spans="2:2">
      <c r="B94" s="72"/>
    </row>
    <row r="95" spans="2:2">
      <c r="B95" s="72"/>
    </row>
    <row r="96" spans="2:2">
      <c r="B96" s="72"/>
    </row>
    <row r="97" spans="2:2">
      <c r="B97" s="72"/>
    </row>
    <row r="98" spans="2:2">
      <c r="B98" s="72"/>
    </row>
    <row r="99" spans="2:2">
      <c r="B99" s="72"/>
    </row>
    <row r="100" spans="2:2">
      <c r="B100" s="72"/>
    </row>
    <row r="101" spans="2:2">
      <c r="B101" s="72"/>
    </row>
    <row r="102" spans="2:2">
      <c r="B102" s="72"/>
    </row>
    <row r="103" spans="2:2">
      <c r="B103" s="72"/>
    </row>
    <row r="104" spans="2:2">
      <c r="B104" s="72"/>
    </row>
    <row r="105" spans="2:2">
      <c r="B105" s="72"/>
    </row>
    <row r="106" spans="2:2">
      <c r="B106" s="72"/>
    </row>
    <row r="107" spans="2:2">
      <c r="B107" s="72"/>
    </row>
    <row r="108" spans="2:2">
      <c r="B108" s="72"/>
    </row>
    <row r="109" spans="2:2">
      <c r="B109" s="72"/>
    </row>
    <row r="110" spans="2:2">
      <c r="B110" s="72"/>
    </row>
    <row r="111" spans="2:2">
      <c r="B111" s="72"/>
    </row>
    <row r="112" spans="2:2">
      <c r="B112" s="72"/>
    </row>
    <row r="113" spans="2:2">
      <c r="B113" s="72"/>
    </row>
    <row r="114" spans="2:2">
      <c r="B114" s="72"/>
    </row>
    <row r="115" spans="2:2">
      <c r="B115" s="72"/>
    </row>
    <row r="116" spans="2:2">
      <c r="B116" s="72"/>
    </row>
    <row r="117" spans="2:2">
      <c r="B117" s="72"/>
    </row>
    <row r="118" spans="2:2">
      <c r="B118" s="72"/>
    </row>
    <row r="119" spans="2:2">
      <c r="B119" s="72"/>
    </row>
    <row r="120" spans="2:2">
      <c r="B120" s="72"/>
    </row>
    <row r="121" spans="2:2">
      <c r="B121" s="72"/>
    </row>
    <row r="122" spans="2:2">
      <c r="B122" s="72"/>
    </row>
    <row r="123" spans="2:2">
      <c r="B123" s="72"/>
    </row>
    <row r="124" spans="2:2">
      <c r="B124" s="72"/>
    </row>
    <row r="125" spans="2:2">
      <c r="B125" s="72"/>
    </row>
    <row r="126" spans="2:2">
      <c r="B126" s="72"/>
    </row>
    <row r="127" spans="2:2">
      <c r="B127" s="72"/>
    </row>
    <row r="128" spans="2:2">
      <c r="B128" s="72"/>
    </row>
    <row r="129" spans="2:2">
      <c r="B129" s="72"/>
    </row>
    <row r="130" spans="2:2">
      <c r="B130" s="72"/>
    </row>
    <row r="131" spans="2:2">
      <c r="B131" s="72"/>
    </row>
    <row r="132" spans="2:2">
      <c r="B132" s="72"/>
    </row>
    <row r="133" spans="2:2">
      <c r="B133" s="72"/>
    </row>
    <row r="134" spans="2:2">
      <c r="B134" s="72"/>
    </row>
    <row r="135" spans="2:2">
      <c r="B135" s="72"/>
    </row>
    <row r="136" spans="2:2">
      <c r="B136" s="72"/>
    </row>
    <row r="137" spans="2:2">
      <c r="B137" s="72"/>
    </row>
    <row r="138" spans="2:2">
      <c r="B138" s="72"/>
    </row>
    <row r="139" spans="2:2">
      <c r="B139" s="72"/>
    </row>
    <row r="140" spans="2:2">
      <c r="B140" s="72"/>
    </row>
    <row r="141" spans="2:2">
      <c r="B141" s="72"/>
    </row>
    <row r="142" spans="2:2">
      <c r="B142" s="72"/>
    </row>
    <row r="143" spans="2:2">
      <c r="B143" s="72"/>
    </row>
    <row r="144" spans="2:2">
      <c r="B144" s="72"/>
    </row>
    <row r="145" spans="2:2">
      <c r="B145" s="72"/>
    </row>
    <row r="146" spans="2:2">
      <c r="B146" s="72"/>
    </row>
    <row r="147" spans="2:2">
      <c r="B147" s="72"/>
    </row>
    <row r="148" spans="2:2">
      <c r="B148" s="72"/>
    </row>
    <row r="149" spans="2:2">
      <c r="B149" s="72"/>
    </row>
    <row r="150" spans="2:2">
      <c r="B150" s="72"/>
    </row>
    <row r="151" spans="2:2">
      <c r="B151" s="72"/>
    </row>
    <row r="152" spans="2:2">
      <c r="B152" s="72"/>
    </row>
    <row r="153" spans="2:2">
      <c r="B153" s="72"/>
    </row>
    <row r="154" spans="2:2">
      <c r="B154" s="72"/>
    </row>
    <row r="155" spans="2:2">
      <c r="B155" s="72"/>
    </row>
    <row r="156" spans="2:2">
      <c r="B156" s="72"/>
    </row>
    <row r="157" spans="2:2">
      <c r="B157" s="72"/>
    </row>
    <row r="158" spans="2:2">
      <c r="B158" s="72"/>
    </row>
    <row r="159" spans="2:2">
      <c r="B159" s="72"/>
    </row>
    <row r="160" spans="2:2">
      <c r="B160" s="72"/>
    </row>
    <row r="161" spans="2:2">
      <c r="B161" s="72"/>
    </row>
    <row r="162" spans="2:2">
      <c r="B162" s="72"/>
    </row>
    <row r="163" spans="2:2">
      <c r="B163" s="72"/>
    </row>
    <row r="164" spans="2:2">
      <c r="B164" s="72"/>
    </row>
    <row r="165" spans="2:2">
      <c r="B165" s="72"/>
    </row>
    <row r="166" spans="2:2">
      <c r="B166" s="72"/>
    </row>
    <row r="167" spans="2:2">
      <c r="B167" s="72"/>
    </row>
    <row r="168" spans="2:2">
      <c r="B168" s="72"/>
    </row>
    <row r="169" spans="2:2">
      <c r="B169" s="72"/>
    </row>
    <row r="170" spans="2:2">
      <c r="B170" s="72"/>
    </row>
    <row r="171" spans="2:2">
      <c r="B171" s="72"/>
    </row>
    <row r="172" spans="2:2">
      <c r="B172" s="72"/>
    </row>
    <row r="173" spans="2:2">
      <c r="B173" s="72"/>
    </row>
    <row r="174" spans="2:2">
      <c r="B174" s="72"/>
    </row>
    <row r="175" spans="2:2">
      <c r="B175" s="72"/>
    </row>
    <row r="176" spans="2:2">
      <c r="B176" s="72"/>
    </row>
    <row r="177" spans="2:2">
      <c r="B177" s="72"/>
    </row>
    <row r="178" spans="2:2">
      <c r="B178" s="72"/>
    </row>
    <row r="179" spans="2:2">
      <c r="B179" s="72"/>
    </row>
    <row r="180" spans="2:2">
      <c r="B180" s="72"/>
    </row>
    <row r="181" spans="2:2">
      <c r="B181" s="72"/>
    </row>
    <row r="182" spans="2:2">
      <c r="B182" s="72"/>
    </row>
    <row r="183" spans="2:2">
      <c r="B183" s="72"/>
    </row>
    <row r="184" spans="2:2">
      <c r="B184" s="72"/>
    </row>
    <row r="185" spans="2:2">
      <c r="B185" s="72"/>
    </row>
    <row r="186" spans="2:2">
      <c r="B186" s="72"/>
    </row>
    <row r="187" spans="2:2">
      <c r="B187" s="72"/>
    </row>
    <row r="188" spans="2:2">
      <c r="B188" s="72"/>
    </row>
    <row r="189" spans="2:2">
      <c r="B189" s="72"/>
    </row>
    <row r="190" spans="2:2">
      <c r="B190" s="72"/>
    </row>
    <row r="191" spans="2:2">
      <c r="B191" s="72"/>
    </row>
    <row r="192" spans="2:2">
      <c r="B192" s="72"/>
    </row>
    <row r="193" spans="2:2">
      <c r="B193" s="72"/>
    </row>
    <row r="194" spans="2:2">
      <c r="B194" s="72"/>
    </row>
    <row r="195" spans="2:2">
      <c r="B195" s="72"/>
    </row>
    <row r="196" spans="2:2">
      <c r="B196" s="72"/>
    </row>
    <row r="197" spans="2:2">
      <c r="B197" s="72"/>
    </row>
    <row r="198" spans="2:2">
      <c r="B198" s="72"/>
    </row>
    <row r="199" spans="2:2">
      <c r="B199" s="72"/>
    </row>
    <row r="200" spans="2:2">
      <c r="B200" s="72"/>
    </row>
    <row r="201" spans="2:2">
      <c r="B201" s="72"/>
    </row>
    <row r="202" spans="2:2">
      <c r="B202" s="72"/>
    </row>
    <row r="203" spans="2:2">
      <c r="B203" s="72"/>
    </row>
    <row r="204" spans="2:2">
      <c r="B204" s="72"/>
    </row>
    <row r="205" spans="2:2">
      <c r="B205" s="72"/>
    </row>
    <row r="206" spans="2:2">
      <c r="B206" s="72"/>
    </row>
    <row r="207" spans="2:2">
      <c r="B207" s="72"/>
    </row>
    <row r="208" spans="2:2">
      <c r="B208" s="72"/>
    </row>
    <row r="209" spans="2:2">
      <c r="B209" s="72"/>
    </row>
    <row r="210" spans="2:2">
      <c r="B210" s="72"/>
    </row>
    <row r="211" spans="2:2">
      <c r="B211" s="72"/>
    </row>
    <row r="212" spans="2:2">
      <c r="B212" s="72"/>
    </row>
    <row r="213" spans="2:2">
      <c r="B213" s="72"/>
    </row>
    <row r="214" spans="2:2">
      <c r="B214" s="72"/>
    </row>
    <row r="215" spans="2:2">
      <c r="B215" s="72"/>
    </row>
    <row r="216" spans="2:2">
      <c r="B216" s="72"/>
    </row>
    <row r="217" spans="2:2">
      <c r="B217" s="72"/>
    </row>
    <row r="218" spans="2:2">
      <c r="B218" s="72"/>
    </row>
    <row r="219" spans="2:2">
      <c r="B219" s="72"/>
    </row>
    <row r="220" spans="2:2">
      <c r="B220" s="72"/>
    </row>
    <row r="221" spans="2:2">
      <c r="B221" s="72"/>
    </row>
    <row r="222" spans="2:2">
      <c r="B222" s="72"/>
    </row>
    <row r="223" spans="2:2">
      <c r="B223" s="72"/>
    </row>
    <row r="224" spans="2:2">
      <c r="B224" s="72"/>
    </row>
    <row r="225" spans="2:2">
      <c r="B225" s="72"/>
    </row>
    <row r="226" spans="2:2">
      <c r="B226" s="72"/>
    </row>
    <row r="227" spans="2:2">
      <c r="B227" s="72"/>
    </row>
    <row r="228" spans="2:2">
      <c r="B228" s="72"/>
    </row>
    <row r="229" spans="2:2">
      <c r="B229" s="72"/>
    </row>
    <row r="230" spans="2:2">
      <c r="B230" s="72"/>
    </row>
    <row r="231" spans="2:2">
      <c r="B231" s="72"/>
    </row>
    <row r="232" spans="2:2">
      <c r="B232" s="72"/>
    </row>
    <row r="233" spans="2:2">
      <c r="B233" s="72"/>
    </row>
    <row r="234" spans="2:2">
      <c r="B234" s="72"/>
    </row>
    <row r="235" spans="2:2">
      <c r="B235" s="72"/>
    </row>
    <row r="236" spans="2:2">
      <c r="B236" s="72"/>
    </row>
    <row r="237" spans="2:2">
      <c r="B237" s="72"/>
    </row>
    <row r="238" spans="2:2">
      <c r="B238" s="72"/>
    </row>
    <row r="239" spans="2:2">
      <c r="B239" s="72"/>
    </row>
    <row r="240" spans="2:2">
      <c r="B240" s="72"/>
    </row>
    <row r="241" spans="2:2">
      <c r="B241" s="72"/>
    </row>
    <row r="242" spans="2:2">
      <c r="B242" s="72"/>
    </row>
    <row r="243" spans="2:2">
      <c r="B243" s="72"/>
    </row>
    <row r="244" spans="2:2">
      <c r="B244" s="72"/>
    </row>
    <row r="245" spans="2:2">
      <c r="B245" s="72"/>
    </row>
    <row r="246" spans="2:2">
      <c r="B246" s="72"/>
    </row>
    <row r="247" spans="2:2">
      <c r="B247" s="72"/>
    </row>
    <row r="248" spans="2:2">
      <c r="B248" s="72"/>
    </row>
    <row r="249" spans="2:2">
      <c r="B249" s="72"/>
    </row>
    <row r="250" spans="2:2">
      <c r="B250" s="72"/>
    </row>
    <row r="251" spans="2:2">
      <c r="B251" s="72"/>
    </row>
    <row r="252" spans="2:2">
      <c r="B252" s="72"/>
    </row>
    <row r="253" spans="2:2">
      <c r="B253" s="72"/>
    </row>
    <row r="254" spans="2:2">
      <c r="B254" s="72"/>
    </row>
    <row r="255" spans="2:2">
      <c r="B255" s="72"/>
    </row>
    <row r="256" spans="2:2">
      <c r="B256" s="72"/>
    </row>
    <row r="257" spans="2:2">
      <c r="B257" s="72"/>
    </row>
    <row r="258" spans="2:2">
      <c r="B258" s="72"/>
    </row>
    <row r="259" spans="2:2">
      <c r="B259" s="72"/>
    </row>
    <row r="260" spans="2:2">
      <c r="B260" s="72"/>
    </row>
    <row r="261" spans="2:2">
      <c r="B261" s="72"/>
    </row>
    <row r="262" spans="2:2">
      <c r="B262" s="72"/>
    </row>
    <row r="263" spans="2:2">
      <c r="B263" s="72"/>
    </row>
    <row r="264" spans="2:2">
      <c r="B264" s="72"/>
    </row>
    <row r="265" spans="2:2">
      <c r="B265" s="72"/>
    </row>
    <row r="266" spans="2:2">
      <c r="B266" s="72"/>
    </row>
    <row r="267" spans="2:2">
      <c r="B267" s="72"/>
    </row>
    <row r="268" spans="2:2">
      <c r="B268" s="72"/>
    </row>
    <row r="269" spans="2:2">
      <c r="B269" s="72"/>
    </row>
    <row r="270" spans="2:2">
      <c r="B270" s="72"/>
    </row>
    <row r="271" spans="2:2">
      <c r="B271" s="72"/>
    </row>
    <row r="272" spans="2:2">
      <c r="B272" s="72"/>
    </row>
    <row r="273" spans="2:2">
      <c r="B273" s="72"/>
    </row>
    <row r="274" spans="2:2">
      <c r="B274" s="72"/>
    </row>
    <row r="275" spans="2:2">
      <c r="B275" s="72"/>
    </row>
    <row r="276" spans="2:2">
      <c r="B276" s="72"/>
    </row>
    <row r="277" spans="2:2">
      <c r="B277" s="72"/>
    </row>
    <row r="278" spans="2:2">
      <c r="B278" s="72"/>
    </row>
    <row r="279" spans="2:2">
      <c r="B279" s="72"/>
    </row>
    <row r="280" spans="2:2">
      <c r="B280" s="72"/>
    </row>
    <row r="281" spans="2:2">
      <c r="B281" s="72"/>
    </row>
    <row r="282" spans="2:2">
      <c r="B282" s="72"/>
    </row>
    <row r="283" spans="2:2">
      <c r="B283" s="72"/>
    </row>
    <row r="284" spans="2:2">
      <c r="B284" s="72"/>
    </row>
    <row r="285" spans="2:2">
      <c r="B285" s="72"/>
    </row>
    <row r="286" spans="2:2">
      <c r="B286" s="72"/>
    </row>
    <row r="287" spans="2:2">
      <c r="B287" s="72"/>
    </row>
    <row r="288" spans="2:2">
      <c r="B288" s="72"/>
    </row>
    <row r="289" spans="2:2">
      <c r="B289" s="72"/>
    </row>
    <row r="290" spans="2:2">
      <c r="B290" s="72"/>
    </row>
    <row r="291" spans="2:2">
      <c r="B291" s="72"/>
    </row>
    <row r="292" spans="2:2">
      <c r="B292" s="72"/>
    </row>
    <row r="293" spans="2:2">
      <c r="B293" s="72"/>
    </row>
    <row r="294" spans="2:2">
      <c r="B294" s="72"/>
    </row>
    <row r="295" spans="2:2">
      <c r="B295" s="72"/>
    </row>
    <row r="296" spans="2:2">
      <c r="B296" s="72"/>
    </row>
    <row r="297" spans="2:2">
      <c r="B297" s="72"/>
    </row>
    <row r="298" spans="2:2">
      <c r="B298" s="72"/>
    </row>
    <row r="299" spans="2:2">
      <c r="B299" s="72"/>
    </row>
    <row r="300" spans="2:2">
      <c r="B300" s="72"/>
    </row>
    <row r="301" spans="2:2">
      <c r="B301" s="72"/>
    </row>
    <row r="302" spans="2:2">
      <c r="B302" s="72"/>
    </row>
    <row r="303" spans="2:2">
      <c r="B303" s="72"/>
    </row>
    <row r="304" spans="2:2">
      <c r="B304" s="72"/>
    </row>
    <row r="305" spans="2:2">
      <c r="B305" s="72"/>
    </row>
    <row r="306" spans="2:2">
      <c r="B306" s="72"/>
    </row>
    <row r="307" spans="2:2">
      <c r="B307" s="72"/>
    </row>
    <row r="308" spans="2:2">
      <c r="B308" s="72"/>
    </row>
    <row r="309" spans="2:2">
      <c r="B309" s="72"/>
    </row>
    <row r="310" spans="2:2">
      <c r="B310" s="72"/>
    </row>
    <row r="311" spans="2:2">
      <c r="B311" s="72"/>
    </row>
    <row r="312" spans="2:2">
      <c r="B312" s="72"/>
    </row>
    <row r="313" spans="2:2">
      <c r="B313" s="72"/>
    </row>
    <row r="314" spans="2:2">
      <c r="B314" s="72"/>
    </row>
    <row r="315" spans="2:2">
      <c r="B315" s="72"/>
    </row>
    <row r="316" spans="2:2">
      <c r="B316" s="72"/>
    </row>
    <row r="317" spans="2:2">
      <c r="B317" s="72"/>
    </row>
    <row r="318" spans="2:2">
      <c r="B318" s="72"/>
    </row>
    <row r="319" spans="2:2">
      <c r="B319" s="72"/>
    </row>
    <row r="320" spans="2:2">
      <c r="B320" s="72"/>
    </row>
    <row r="321" spans="2:2">
      <c r="B321" s="72"/>
    </row>
    <row r="322" spans="2:2">
      <c r="B322" s="72"/>
    </row>
    <row r="323" spans="2:2">
      <c r="B323" s="72"/>
    </row>
    <row r="324" spans="2:2">
      <c r="B324" s="72"/>
    </row>
    <row r="325" spans="2:2">
      <c r="B325" s="72"/>
    </row>
    <row r="326" spans="2:2">
      <c r="B326" s="72"/>
    </row>
    <row r="327" spans="2:2">
      <c r="B327" s="72"/>
    </row>
    <row r="328" spans="2:2">
      <c r="B328" s="72"/>
    </row>
    <row r="329" spans="2:2">
      <c r="B329" s="72"/>
    </row>
    <row r="330" spans="2:2">
      <c r="B330" s="72"/>
    </row>
    <row r="331" spans="2:2">
      <c r="B331" s="72"/>
    </row>
    <row r="332" spans="2:2">
      <c r="B332" s="72"/>
    </row>
    <row r="333" spans="2:2">
      <c r="B333" s="72"/>
    </row>
    <row r="334" spans="2:2">
      <c r="B334" s="72"/>
    </row>
    <row r="335" spans="2:2">
      <c r="B335" s="72"/>
    </row>
    <row r="336" spans="2:2">
      <c r="B336" s="72"/>
    </row>
    <row r="337" spans="2:2">
      <c r="B337" s="72"/>
    </row>
    <row r="338" spans="2:2">
      <c r="B338" s="72"/>
    </row>
    <row r="339" spans="2:2">
      <c r="B339" s="72"/>
    </row>
    <row r="340" spans="2:2">
      <c r="B340" s="72"/>
    </row>
    <row r="341" spans="2:2">
      <c r="B341" s="72"/>
    </row>
    <row r="342" spans="2:2">
      <c r="B342" s="72"/>
    </row>
    <row r="343" spans="2:2">
      <c r="B343" s="72"/>
    </row>
    <row r="344" spans="2:2">
      <c r="B344" s="72"/>
    </row>
    <row r="345" spans="2:2">
      <c r="B345" s="72"/>
    </row>
    <row r="346" spans="2:2">
      <c r="B346" s="72"/>
    </row>
    <row r="347" spans="2:2">
      <c r="B347" s="72"/>
    </row>
    <row r="348" spans="2:2">
      <c r="B348" s="72"/>
    </row>
    <row r="349" spans="2:2">
      <c r="B349" s="72"/>
    </row>
    <row r="350" spans="2:2">
      <c r="B350" s="72"/>
    </row>
    <row r="351" spans="2:2">
      <c r="B351" s="72"/>
    </row>
    <row r="352" spans="2:2">
      <c r="B352" s="72"/>
    </row>
    <row r="353" spans="2:2">
      <c r="B353" s="72"/>
    </row>
    <row r="354" spans="2:2">
      <c r="B354" s="72"/>
    </row>
    <row r="355" spans="2:2">
      <c r="B355" s="72"/>
    </row>
    <row r="356" spans="2:2">
      <c r="B356" s="72"/>
    </row>
    <row r="357" spans="2:2">
      <c r="B357" s="72"/>
    </row>
    <row r="358" spans="2:2">
      <c r="B358" s="72"/>
    </row>
    <row r="359" spans="2:2">
      <c r="B359" s="72"/>
    </row>
    <row r="360" spans="2:2">
      <c r="B360" s="72"/>
    </row>
    <row r="361" spans="2:2">
      <c r="B361" s="72"/>
    </row>
    <row r="362" spans="2:2">
      <c r="B362" s="72"/>
    </row>
    <row r="363" spans="2:2">
      <c r="B363" s="72"/>
    </row>
    <row r="364" spans="2:2">
      <c r="B364" s="72"/>
    </row>
    <row r="365" spans="2:2">
      <c r="B365" s="72"/>
    </row>
    <row r="366" spans="2:2">
      <c r="B366" s="72"/>
    </row>
    <row r="367" spans="2:2">
      <c r="B367" s="72"/>
    </row>
    <row r="368" spans="2:2">
      <c r="B368" s="72"/>
    </row>
    <row r="369" spans="2:2">
      <c r="B369" s="72"/>
    </row>
    <row r="370" spans="2:2">
      <c r="B370" s="72"/>
    </row>
    <row r="371" spans="2:2">
      <c r="B371" s="72"/>
    </row>
    <row r="372" spans="2:2">
      <c r="B372" s="72"/>
    </row>
    <row r="373" spans="2:2">
      <c r="B373" s="72"/>
    </row>
    <row r="374" spans="2:2">
      <c r="B374" s="72"/>
    </row>
    <row r="375" spans="2:2">
      <c r="B375" s="72"/>
    </row>
    <row r="376" spans="2:2">
      <c r="B376" s="72"/>
    </row>
    <row r="377" spans="2:2">
      <c r="B377" s="72"/>
    </row>
    <row r="378" spans="2:2">
      <c r="B378" s="72"/>
    </row>
    <row r="379" spans="2:2">
      <c r="B379" s="72"/>
    </row>
    <row r="380" spans="2:2">
      <c r="B380" s="72"/>
    </row>
    <row r="381" spans="2:2">
      <c r="B381" s="72"/>
    </row>
    <row r="382" spans="2:2">
      <c r="B382" s="72"/>
    </row>
    <row r="383" spans="2:2">
      <c r="B383" s="72"/>
    </row>
    <row r="384" spans="2:2">
      <c r="B384" s="72"/>
    </row>
    <row r="385" spans="2:2">
      <c r="B385" s="72"/>
    </row>
    <row r="386" spans="2:2">
      <c r="B386" s="72"/>
    </row>
    <row r="387" spans="2:2">
      <c r="B387" s="72"/>
    </row>
    <row r="388" spans="2:2">
      <c r="B388" s="72"/>
    </row>
    <row r="389" spans="2:2">
      <c r="B389" s="72"/>
    </row>
    <row r="390" spans="2:2">
      <c r="B390" s="72"/>
    </row>
    <row r="391" spans="2:2">
      <c r="B391" s="72"/>
    </row>
    <row r="392" spans="2:2">
      <c r="B392" s="72"/>
    </row>
    <row r="393" spans="2:2">
      <c r="B393" s="72"/>
    </row>
    <row r="394" spans="2:2">
      <c r="B394" s="72"/>
    </row>
    <row r="395" spans="2:2">
      <c r="B395" s="72"/>
    </row>
    <row r="396" spans="2:2">
      <c r="B396" s="72"/>
    </row>
    <row r="397" spans="2:2">
      <c r="B397" s="72"/>
    </row>
    <row r="398" spans="2:2">
      <c r="B398" s="72"/>
    </row>
    <row r="399" spans="2:2">
      <c r="B399" s="72"/>
    </row>
    <row r="400" spans="2:2">
      <c r="B400" s="72"/>
    </row>
    <row r="401" spans="2:2">
      <c r="B401" s="72"/>
    </row>
    <row r="402" spans="2:2">
      <c r="B402" s="72"/>
    </row>
    <row r="403" spans="2:2">
      <c r="B403" s="72"/>
    </row>
    <row r="404" spans="2:2">
      <c r="B404" s="72"/>
    </row>
    <row r="405" spans="2:2">
      <c r="B405" s="72"/>
    </row>
    <row r="406" spans="2:2">
      <c r="B406" s="72"/>
    </row>
    <row r="407" spans="2:2">
      <c r="B407" s="72"/>
    </row>
    <row r="408" spans="2:2">
      <c r="B408" s="72"/>
    </row>
    <row r="409" spans="2:2">
      <c r="B409" s="72"/>
    </row>
    <row r="410" spans="2:2">
      <c r="B410" s="72"/>
    </row>
    <row r="411" spans="2:2">
      <c r="B411" s="72"/>
    </row>
    <row r="412" spans="2:2">
      <c r="B412" s="72"/>
    </row>
    <row r="413" spans="2:2">
      <c r="B413" s="72"/>
    </row>
    <row r="414" spans="2:2">
      <c r="B414" s="72"/>
    </row>
    <row r="415" spans="2:2">
      <c r="B415" s="72"/>
    </row>
    <row r="416" spans="2:2">
      <c r="B416" s="72"/>
    </row>
    <row r="417" spans="2:2">
      <c r="B417" s="72"/>
    </row>
    <row r="418" spans="2:2">
      <c r="B418" s="72"/>
    </row>
    <row r="419" spans="2:2">
      <c r="B419" s="72"/>
    </row>
    <row r="420" spans="2:2">
      <c r="B420" s="72"/>
    </row>
    <row r="421" spans="2:2">
      <c r="B421" s="72"/>
    </row>
    <row r="422" spans="2:2">
      <c r="B422" s="72"/>
    </row>
    <row r="423" spans="2:2">
      <c r="B423" s="72"/>
    </row>
    <row r="424" spans="2:2">
      <c r="B424" s="72"/>
    </row>
    <row r="425" spans="2:2">
      <c r="B425" s="72"/>
    </row>
    <row r="426" spans="2:2">
      <c r="B426" s="72"/>
    </row>
    <row r="427" spans="2:2">
      <c r="B427" s="72"/>
    </row>
    <row r="428" spans="2:2">
      <c r="B428" s="72"/>
    </row>
    <row r="429" spans="2:2">
      <c r="B429" s="72"/>
    </row>
    <row r="430" spans="2:2">
      <c r="B430" s="72"/>
    </row>
    <row r="431" spans="2:2">
      <c r="B431" s="72"/>
    </row>
    <row r="432" spans="2:2">
      <c r="B432" s="72"/>
    </row>
    <row r="433" spans="2:2">
      <c r="B433" s="72"/>
    </row>
    <row r="434" spans="2:2">
      <c r="B434" s="72"/>
    </row>
    <row r="435" spans="2:2">
      <c r="B435" s="72"/>
    </row>
    <row r="436" spans="2:2">
      <c r="B436" s="72"/>
    </row>
    <row r="437" spans="2:2">
      <c r="B437" s="72"/>
    </row>
    <row r="438" spans="2:2">
      <c r="B438" s="72"/>
    </row>
    <row r="439" spans="2:2">
      <c r="B439" s="72"/>
    </row>
    <row r="440" spans="2:2">
      <c r="B440" s="72"/>
    </row>
    <row r="441" spans="2:2">
      <c r="B441" s="72"/>
    </row>
    <row r="442" spans="2:2">
      <c r="B442" s="72"/>
    </row>
    <row r="443" spans="2:2">
      <c r="B443" s="72"/>
    </row>
    <row r="444" spans="2:2">
      <c r="B444" s="72"/>
    </row>
    <row r="445" spans="2:2">
      <c r="B445" s="72"/>
    </row>
    <row r="446" spans="2:2">
      <c r="B446" s="72"/>
    </row>
    <row r="447" spans="2:2">
      <c r="B447" s="72"/>
    </row>
    <row r="448" spans="2:2">
      <c r="B448" s="72"/>
    </row>
    <row r="449" spans="2:2">
      <c r="B449" s="72"/>
    </row>
    <row r="450" spans="2:2">
      <c r="B450" s="72"/>
    </row>
    <row r="451" spans="2:2">
      <c r="B451" s="72"/>
    </row>
    <row r="452" spans="2:2">
      <c r="B452" s="72"/>
    </row>
    <row r="453" spans="2:2">
      <c r="B453" s="72"/>
    </row>
    <row r="454" spans="2:2">
      <c r="B454" s="72"/>
    </row>
    <row r="455" spans="2:2">
      <c r="B455" s="72"/>
    </row>
    <row r="456" spans="2:2">
      <c r="B456" s="72"/>
    </row>
    <row r="457" spans="2:2">
      <c r="B457" s="72"/>
    </row>
    <row r="458" spans="2:2">
      <c r="B458" s="72"/>
    </row>
    <row r="459" spans="2:2">
      <c r="B459" s="72"/>
    </row>
    <row r="460" spans="2:2">
      <c r="B460" s="72"/>
    </row>
    <row r="461" spans="2:2">
      <c r="B461" s="72"/>
    </row>
    <row r="462" spans="2:2">
      <c r="B462" s="72"/>
    </row>
    <row r="463" spans="2:2">
      <c r="B463" s="72"/>
    </row>
    <row r="464" spans="2:2">
      <c r="B464" s="72"/>
    </row>
    <row r="465" spans="2:2">
      <c r="B465" s="72"/>
    </row>
    <row r="466" spans="2:2">
      <c r="B466" s="72"/>
    </row>
    <row r="467" spans="2:2">
      <c r="B467" s="72"/>
    </row>
    <row r="468" spans="2:2">
      <c r="B468" s="72"/>
    </row>
    <row r="469" spans="2:2">
      <c r="B469" s="72"/>
    </row>
    <row r="470" spans="2:2">
      <c r="B470" s="72"/>
    </row>
    <row r="471" spans="2:2">
      <c r="B471" s="72"/>
    </row>
    <row r="472" spans="2:2">
      <c r="B472" s="72"/>
    </row>
    <row r="473" spans="2:2">
      <c r="B473" s="72"/>
    </row>
    <row r="474" spans="2:2">
      <c r="B474" s="72"/>
    </row>
    <row r="475" spans="2:2">
      <c r="B475" s="72"/>
    </row>
    <row r="476" spans="2:2">
      <c r="B476" s="72"/>
    </row>
    <row r="477" spans="2:2">
      <c r="B477" s="72"/>
    </row>
    <row r="478" spans="2:2">
      <c r="B478" s="72"/>
    </row>
    <row r="479" spans="2:2">
      <c r="B479" s="72"/>
    </row>
    <row r="480" spans="2:2">
      <c r="B480" s="72"/>
    </row>
    <row r="481" spans="2:2">
      <c r="B481" s="72"/>
    </row>
    <row r="482" spans="2:2">
      <c r="B482" s="72"/>
    </row>
    <row r="483" spans="2:2">
      <c r="B483" s="72"/>
    </row>
    <row r="484" spans="2:2">
      <c r="B484" s="72"/>
    </row>
    <row r="485" spans="2:2">
      <c r="B485" s="72"/>
    </row>
    <row r="486" spans="2:2">
      <c r="B486" s="72"/>
    </row>
    <row r="487" spans="2:2">
      <c r="B487" s="72"/>
    </row>
    <row r="488" spans="2:2">
      <c r="B488" s="72"/>
    </row>
    <row r="489" spans="2:2">
      <c r="B489" s="72"/>
    </row>
    <row r="490" spans="2:2">
      <c r="B490" s="72"/>
    </row>
    <row r="491" spans="2:2">
      <c r="B491" s="72"/>
    </row>
    <row r="492" spans="2:2">
      <c r="B492" s="72"/>
    </row>
    <row r="493" spans="2:2">
      <c r="B493" s="72"/>
    </row>
    <row r="494" spans="2:2">
      <c r="B494" s="72"/>
    </row>
    <row r="495" spans="2:2">
      <c r="B495" s="72"/>
    </row>
    <row r="496" spans="2:2">
      <c r="B496" s="72"/>
    </row>
    <row r="497" spans="2:2">
      <c r="B497" s="72"/>
    </row>
    <row r="498" spans="2:2">
      <c r="B498" s="72"/>
    </row>
    <row r="499" spans="2:2">
      <c r="B499" s="72"/>
    </row>
    <row r="500" spans="2:2">
      <c r="B500" s="72"/>
    </row>
    <row r="501" spans="2:2">
      <c r="B501" s="72"/>
    </row>
    <row r="502" spans="2:2">
      <c r="B502" s="72"/>
    </row>
    <row r="503" spans="2:2">
      <c r="B503" s="72"/>
    </row>
    <row r="504" spans="2:2">
      <c r="B504" s="72"/>
    </row>
    <row r="505" spans="2:2">
      <c r="B505" s="72"/>
    </row>
    <row r="506" spans="2:2">
      <c r="B506" s="72"/>
    </row>
    <row r="507" spans="2:2">
      <c r="B507" s="72"/>
    </row>
    <row r="508" spans="2:2">
      <c r="B508" s="72"/>
    </row>
    <row r="509" spans="2:2">
      <c r="B509" s="72"/>
    </row>
    <row r="510" spans="2:2">
      <c r="B510" s="72"/>
    </row>
    <row r="511" spans="2:2">
      <c r="B511" s="72"/>
    </row>
    <row r="512" spans="2:2">
      <c r="B512" s="72"/>
    </row>
    <row r="513" spans="2:2">
      <c r="B513" s="72"/>
    </row>
    <row r="514" spans="2:2">
      <c r="B514" s="72"/>
    </row>
    <row r="515" spans="2:2">
      <c r="B515" s="72"/>
    </row>
    <row r="516" spans="2:2">
      <c r="B516" s="72"/>
    </row>
    <row r="517" spans="2:2">
      <c r="B517" s="72"/>
    </row>
    <row r="518" spans="2:2">
      <c r="B518" s="72"/>
    </row>
    <row r="519" spans="2:2">
      <c r="B519" s="72"/>
    </row>
    <row r="520" spans="2:2">
      <c r="B520" s="72"/>
    </row>
    <row r="521" spans="2:2">
      <c r="B521" s="72"/>
    </row>
    <row r="522" spans="2:2">
      <c r="B522" s="72"/>
    </row>
    <row r="523" spans="2:2">
      <c r="B523" s="72"/>
    </row>
    <row r="524" spans="2:2">
      <c r="B524" s="72"/>
    </row>
    <row r="525" spans="2:2">
      <c r="B525" s="72"/>
    </row>
    <row r="526" spans="2:2">
      <c r="B526" s="72"/>
    </row>
    <row r="527" spans="2:2">
      <c r="B527" s="72"/>
    </row>
    <row r="528" spans="2:2">
      <c r="B528" s="72"/>
    </row>
    <row r="529" spans="2:2">
      <c r="B529" s="72"/>
    </row>
    <row r="530" spans="2:2">
      <c r="B530" s="72"/>
    </row>
    <row r="531" spans="2:2">
      <c r="B531" s="72"/>
    </row>
    <row r="532" spans="2:2">
      <c r="B532" s="72"/>
    </row>
    <row r="533" spans="2:2">
      <c r="B533" s="72"/>
    </row>
    <row r="534" spans="2:2">
      <c r="B534" s="72"/>
    </row>
    <row r="535" spans="2:2">
      <c r="B535" s="72"/>
    </row>
    <row r="536" spans="2:2">
      <c r="B536" s="72"/>
    </row>
    <row r="537" spans="2:2">
      <c r="B537" s="72"/>
    </row>
    <row r="538" spans="2:2">
      <c r="B538" s="72"/>
    </row>
    <row r="539" spans="2:2">
      <c r="B539" s="72"/>
    </row>
    <row r="540" spans="2:2">
      <c r="B540" s="72"/>
    </row>
    <row r="541" spans="2:2">
      <c r="B541" s="72"/>
    </row>
    <row r="542" spans="2:2">
      <c r="B542" s="72"/>
    </row>
    <row r="543" spans="2:2">
      <c r="B543" s="72"/>
    </row>
    <row r="544" spans="2:2">
      <c r="B544" s="72"/>
    </row>
    <row r="545" spans="2:2">
      <c r="B545" s="72"/>
    </row>
    <row r="546" spans="2:2">
      <c r="B546" s="72"/>
    </row>
    <row r="547" spans="2:2">
      <c r="B547" s="72"/>
    </row>
    <row r="548" spans="2:2">
      <c r="B548" s="72"/>
    </row>
    <row r="549" spans="2:2">
      <c r="B549" s="72"/>
    </row>
    <row r="550" spans="2:2">
      <c r="B550" s="72"/>
    </row>
    <row r="551" spans="2:2">
      <c r="B551" s="72"/>
    </row>
    <row r="552" spans="2:2">
      <c r="B552" s="72"/>
    </row>
    <row r="553" spans="2:2">
      <c r="B553" s="72"/>
    </row>
    <row r="554" spans="2:2">
      <c r="B554" s="72"/>
    </row>
    <row r="555" spans="2:2">
      <c r="B555" s="72"/>
    </row>
    <row r="556" spans="2:2">
      <c r="B556" s="72"/>
    </row>
    <row r="557" spans="2:2">
      <c r="B557" s="72"/>
    </row>
    <row r="558" spans="2:2">
      <c r="B558" s="72"/>
    </row>
    <row r="559" spans="2:2">
      <c r="B559" s="72"/>
    </row>
    <row r="560" spans="2:2">
      <c r="B560" s="72"/>
    </row>
    <row r="561" spans="2:2">
      <c r="B561" s="72"/>
    </row>
    <row r="562" spans="2:2">
      <c r="B562" s="72"/>
    </row>
    <row r="563" spans="2:2">
      <c r="B563" s="72"/>
    </row>
    <row r="564" spans="2:2">
      <c r="B564" s="72"/>
    </row>
    <row r="565" spans="2:2">
      <c r="B565" s="72"/>
    </row>
    <row r="566" spans="2:2">
      <c r="B566" s="72"/>
    </row>
    <row r="567" spans="2:2">
      <c r="B567" s="72"/>
    </row>
    <row r="568" spans="2:2">
      <c r="B568" s="72"/>
    </row>
    <row r="569" spans="2:2">
      <c r="B569" s="72"/>
    </row>
    <row r="570" spans="2:2">
      <c r="B570" s="72"/>
    </row>
    <row r="571" spans="2:2">
      <c r="B571" s="72"/>
    </row>
    <row r="572" spans="2:2">
      <c r="B572" s="72"/>
    </row>
    <row r="573" spans="2:2">
      <c r="B573" s="72"/>
    </row>
    <row r="574" spans="2:2">
      <c r="B574" s="72"/>
    </row>
    <row r="575" spans="2:2">
      <c r="B575" s="72"/>
    </row>
    <row r="576" spans="2:2">
      <c r="B576" s="72"/>
    </row>
    <row r="577" spans="2:2">
      <c r="B577" s="72"/>
    </row>
    <row r="578" spans="2:2">
      <c r="B578" s="72"/>
    </row>
    <row r="579" spans="2:2">
      <c r="B579" s="72"/>
    </row>
    <row r="580" spans="2:2">
      <c r="B580" s="72"/>
    </row>
    <row r="581" spans="2:2">
      <c r="B581" s="72"/>
    </row>
    <row r="582" spans="2:2">
      <c r="B582" s="72"/>
    </row>
    <row r="583" spans="2:2">
      <c r="B583" s="72"/>
    </row>
    <row r="584" spans="2:2">
      <c r="B584" s="72"/>
    </row>
    <row r="585" spans="2:2">
      <c r="B585" s="72"/>
    </row>
    <row r="586" spans="2:2">
      <c r="B586" s="72"/>
    </row>
    <row r="587" spans="2:2">
      <c r="B587" s="72"/>
    </row>
    <row r="588" spans="2:2">
      <c r="B588" s="72"/>
    </row>
    <row r="589" spans="2:2">
      <c r="B589" s="72"/>
    </row>
    <row r="590" spans="2:2">
      <c r="B590" s="72"/>
    </row>
    <row r="591" spans="2:2">
      <c r="B591" s="72"/>
    </row>
    <row r="592" spans="2:2">
      <c r="B592" s="72"/>
    </row>
    <row r="593" spans="2:2">
      <c r="B593" s="72"/>
    </row>
    <row r="594" spans="2:2">
      <c r="B594" s="72"/>
    </row>
    <row r="595" spans="2:2">
      <c r="B595" s="72"/>
    </row>
    <row r="596" spans="2:2">
      <c r="B596" s="72"/>
    </row>
    <row r="597" spans="2:2">
      <c r="B597" s="72"/>
    </row>
    <row r="598" spans="2:2">
      <c r="B598" s="72"/>
    </row>
    <row r="599" spans="2:2">
      <c r="B599" s="72"/>
    </row>
    <row r="600" spans="2:2">
      <c r="B600" s="72"/>
    </row>
    <row r="601" spans="2:2">
      <c r="B601" s="72"/>
    </row>
    <row r="602" spans="2:2">
      <c r="B602" s="72"/>
    </row>
    <row r="603" spans="2:2">
      <c r="B603" s="72"/>
    </row>
    <row r="604" spans="2:2">
      <c r="B604" s="72"/>
    </row>
    <row r="605" spans="2:2">
      <c r="B605" s="72"/>
    </row>
    <row r="606" spans="2:2">
      <c r="B606" s="72"/>
    </row>
    <row r="607" spans="2:2">
      <c r="B607" s="72"/>
    </row>
    <row r="608" spans="2:2">
      <c r="B608" s="72"/>
    </row>
    <row r="609" spans="2:2">
      <c r="B609" s="72"/>
    </row>
    <row r="610" spans="2:2">
      <c r="B610" s="72"/>
    </row>
    <row r="611" spans="2:2">
      <c r="B611" s="72"/>
    </row>
    <row r="612" spans="2:2">
      <c r="B612" s="72"/>
    </row>
    <row r="613" spans="2:2">
      <c r="B613" s="72"/>
    </row>
    <row r="614" spans="2:2">
      <c r="B614" s="72"/>
    </row>
    <row r="615" spans="2:2">
      <c r="B615" s="72"/>
    </row>
    <row r="616" spans="2:2">
      <c r="B616" s="72"/>
    </row>
    <row r="617" spans="2:2">
      <c r="B617" s="72"/>
    </row>
    <row r="618" spans="2:2">
      <c r="B618" s="72"/>
    </row>
    <row r="619" spans="2:2">
      <c r="B619" s="72"/>
    </row>
    <row r="620" spans="2:2">
      <c r="B620" s="72"/>
    </row>
    <row r="621" spans="2:2">
      <c r="B621" s="72"/>
    </row>
    <row r="622" spans="2:2">
      <c r="B622" s="72"/>
    </row>
    <row r="623" spans="2:2">
      <c r="B623" s="72"/>
    </row>
    <row r="624" spans="2:2">
      <c r="B624" s="72"/>
    </row>
    <row r="625" spans="2:2">
      <c r="B625" s="72"/>
    </row>
    <row r="626" spans="2:2">
      <c r="B626" s="72"/>
    </row>
    <row r="627" spans="2:2">
      <c r="B627" s="72"/>
    </row>
    <row r="628" spans="2:2">
      <c r="B628" s="72"/>
    </row>
    <row r="629" spans="2:2">
      <c r="B629" s="72"/>
    </row>
    <row r="630" spans="2:2">
      <c r="B630" s="72"/>
    </row>
    <row r="631" spans="2:2">
      <c r="B631" s="72"/>
    </row>
    <row r="632" spans="2:2">
      <c r="B632" s="72"/>
    </row>
    <row r="633" spans="2:2">
      <c r="B633" s="72"/>
    </row>
    <row r="634" spans="2:2">
      <c r="B634" s="72"/>
    </row>
    <row r="635" spans="2:2">
      <c r="B635" s="72"/>
    </row>
    <row r="636" spans="2:2">
      <c r="B636" s="72"/>
    </row>
    <row r="637" spans="2:2">
      <c r="B637" s="72"/>
    </row>
    <row r="638" spans="2:2">
      <c r="B638" s="72"/>
    </row>
    <row r="639" spans="2:2">
      <c r="B639" s="72"/>
    </row>
    <row r="640" spans="2:2">
      <c r="B640" s="72"/>
    </row>
    <row r="641" spans="2:2">
      <c r="B641" s="72"/>
    </row>
    <row r="642" spans="2:2">
      <c r="B642" s="72"/>
    </row>
    <row r="643" spans="2:2">
      <c r="B643" s="72"/>
    </row>
    <row r="644" spans="2:2">
      <c r="B644" s="72"/>
    </row>
    <row r="645" spans="2:2">
      <c r="B645" s="72"/>
    </row>
    <row r="646" spans="2:2">
      <c r="B646" s="72"/>
    </row>
    <row r="647" spans="2:2">
      <c r="B647" s="72"/>
    </row>
    <row r="648" spans="2:2">
      <c r="B648" s="72"/>
    </row>
    <row r="649" spans="2:2">
      <c r="B649" s="72"/>
    </row>
    <row r="650" spans="2:2">
      <c r="B650" s="72"/>
    </row>
    <row r="651" spans="2:2">
      <c r="B651" s="72"/>
    </row>
    <row r="652" spans="2:2">
      <c r="B652" s="72"/>
    </row>
    <row r="653" spans="2:2">
      <c r="B653" s="72"/>
    </row>
    <row r="654" spans="2:2">
      <c r="B654" s="72"/>
    </row>
    <row r="655" spans="2:2">
      <c r="B655" s="72"/>
    </row>
    <row r="656" spans="2:2">
      <c r="B656" s="72"/>
    </row>
    <row r="657" spans="2:2">
      <c r="B657" s="72"/>
    </row>
    <row r="658" spans="2:2">
      <c r="B658" s="72"/>
    </row>
    <row r="659" spans="2:2">
      <c r="B659" s="72"/>
    </row>
    <row r="660" spans="2:2">
      <c r="B660" s="72"/>
    </row>
    <row r="661" spans="2:2">
      <c r="B661" s="72"/>
    </row>
    <row r="662" spans="2:2">
      <c r="B662" s="72"/>
    </row>
    <row r="663" spans="2:2">
      <c r="B663" s="72"/>
    </row>
    <row r="664" spans="2:2">
      <c r="B664" s="72"/>
    </row>
    <row r="665" spans="2:2">
      <c r="B665" s="72"/>
    </row>
    <row r="666" spans="2:2">
      <c r="B666" s="72"/>
    </row>
    <row r="667" spans="2:2">
      <c r="B667" s="72"/>
    </row>
    <row r="668" spans="2:2">
      <c r="B668" s="72"/>
    </row>
    <row r="669" spans="2:2">
      <c r="B669" s="72"/>
    </row>
    <row r="670" spans="2:2">
      <c r="B670" s="72"/>
    </row>
    <row r="671" spans="2:2">
      <c r="B671" s="72"/>
    </row>
    <row r="672" spans="2:2">
      <c r="B672" s="72"/>
    </row>
    <row r="673" spans="2:2">
      <c r="B673" s="72"/>
    </row>
    <row r="674" spans="2:2">
      <c r="B674" s="72"/>
    </row>
    <row r="675" spans="2:2">
      <c r="B675" s="72"/>
    </row>
    <row r="676" spans="2:2">
      <c r="B676" s="72"/>
    </row>
    <row r="677" spans="2:2">
      <c r="B677" s="72"/>
    </row>
    <row r="678" spans="2:2">
      <c r="B678" s="72"/>
    </row>
    <row r="679" spans="2:2">
      <c r="B679" s="72"/>
    </row>
    <row r="680" spans="2:2">
      <c r="B680" s="72"/>
    </row>
    <row r="681" spans="2:2">
      <c r="B681" s="72"/>
    </row>
    <row r="682" spans="2:2">
      <c r="B682" s="72"/>
    </row>
    <row r="683" spans="2:2">
      <c r="B683" s="72"/>
    </row>
    <row r="684" spans="2:2">
      <c r="B684" s="72"/>
    </row>
    <row r="685" spans="2:2">
      <c r="B685" s="72"/>
    </row>
    <row r="686" spans="2:2">
      <c r="B686" s="72"/>
    </row>
    <row r="687" spans="2:2">
      <c r="B687" s="72"/>
    </row>
    <row r="688" spans="2:2">
      <c r="B688" s="72"/>
    </row>
    <row r="689" spans="2:2">
      <c r="B689" s="72"/>
    </row>
    <row r="690" spans="2:2">
      <c r="B690" s="72"/>
    </row>
    <row r="691" spans="2:2">
      <c r="B691" s="72"/>
    </row>
    <row r="692" spans="2:2">
      <c r="B692" s="72"/>
    </row>
    <row r="693" spans="2:2">
      <c r="B693" s="72"/>
    </row>
    <row r="694" spans="2:2">
      <c r="B694" s="72"/>
    </row>
    <row r="695" spans="2:2">
      <c r="B695" s="72"/>
    </row>
    <row r="696" spans="2:2">
      <c r="B696" s="72"/>
    </row>
    <row r="697" spans="2:2">
      <c r="B697" s="72"/>
    </row>
    <row r="698" spans="2:2">
      <c r="B698" s="72"/>
    </row>
    <row r="699" spans="2:2">
      <c r="B699" s="72"/>
    </row>
    <row r="700" spans="2:2">
      <c r="B700" s="72"/>
    </row>
    <row r="701" spans="2:2">
      <c r="B701" s="72"/>
    </row>
    <row r="702" spans="2:2">
      <c r="B702" s="72"/>
    </row>
    <row r="703" spans="2:2">
      <c r="B703" s="72"/>
    </row>
    <row r="704" spans="2:2">
      <c r="B704" s="72"/>
    </row>
    <row r="705" spans="2:2">
      <c r="B705" s="72"/>
    </row>
    <row r="706" spans="2:2">
      <c r="B706" s="72"/>
    </row>
    <row r="707" spans="2:2">
      <c r="B707" s="72"/>
    </row>
    <row r="708" spans="2:2">
      <c r="B708" s="72"/>
    </row>
    <row r="709" spans="2:2">
      <c r="B709" s="72"/>
    </row>
    <row r="710" spans="2:2">
      <c r="B710" s="72"/>
    </row>
    <row r="711" spans="2:2">
      <c r="B711" s="72"/>
    </row>
    <row r="712" spans="2:2">
      <c r="B712" s="72"/>
    </row>
    <row r="713" spans="2:2">
      <c r="B713" s="72"/>
    </row>
    <row r="714" spans="2:2">
      <c r="B714" s="72"/>
    </row>
    <row r="715" spans="2:2">
      <c r="B715" s="72"/>
    </row>
    <row r="716" spans="2:2">
      <c r="B716" s="72"/>
    </row>
    <row r="717" spans="2:2">
      <c r="B717" s="72"/>
    </row>
    <row r="718" spans="2:2">
      <c r="B718" s="72"/>
    </row>
    <row r="719" spans="2:2">
      <c r="B719" s="72"/>
    </row>
    <row r="720" spans="2:2">
      <c r="B720" s="72"/>
    </row>
    <row r="721" spans="2:2">
      <c r="B721" s="72"/>
    </row>
    <row r="722" spans="2:2">
      <c r="B722" s="72"/>
    </row>
    <row r="723" spans="2:2">
      <c r="B723" s="72"/>
    </row>
    <row r="724" spans="2:2">
      <c r="B724" s="72"/>
    </row>
    <row r="725" spans="2:2">
      <c r="B725" s="72"/>
    </row>
    <row r="726" spans="2:2">
      <c r="B726" s="72"/>
    </row>
    <row r="727" spans="2:2">
      <c r="B727" s="72"/>
    </row>
    <row r="728" spans="2:2">
      <c r="B728" s="72"/>
    </row>
    <row r="729" spans="2:2">
      <c r="B729" s="72"/>
    </row>
    <row r="730" spans="2:2">
      <c r="B730" s="72"/>
    </row>
    <row r="731" spans="2:2">
      <c r="B731" s="72"/>
    </row>
    <row r="732" spans="2:2">
      <c r="B732" s="72"/>
    </row>
    <row r="733" spans="2:2">
      <c r="B733" s="72"/>
    </row>
    <row r="734" spans="2:2">
      <c r="B734" s="72"/>
    </row>
    <row r="735" spans="2:2">
      <c r="B735" s="72"/>
    </row>
    <row r="736" spans="2:2">
      <c r="B736" s="72"/>
    </row>
    <row r="737" spans="2:2">
      <c r="B737" s="72"/>
    </row>
    <row r="738" spans="2:2">
      <c r="B738" s="72"/>
    </row>
    <row r="739" spans="2:2">
      <c r="B739" s="72"/>
    </row>
    <row r="740" spans="2:2">
      <c r="B740" s="72"/>
    </row>
    <row r="741" spans="2:2">
      <c r="B741" s="72"/>
    </row>
    <row r="742" spans="2:2">
      <c r="B742" s="72"/>
    </row>
    <row r="743" spans="2:2">
      <c r="B743" s="72"/>
    </row>
    <row r="744" spans="2:2">
      <c r="B744" s="72"/>
    </row>
    <row r="745" spans="2:2">
      <c r="B745" s="72"/>
    </row>
    <row r="746" spans="2:2">
      <c r="B746" s="72"/>
    </row>
    <row r="747" spans="2:2">
      <c r="B747" s="72"/>
    </row>
    <row r="748" spans="2:2">
      <c r="B748" s="72"/>
    </row>
    <row r="749" spans="2:2">
      <c r="B749" s="72"/>
    </row>
    <row r="750" spans="2:2">
      <c r="B750" s="72"/>
    </row>
    <row r="751" spans="2:2">
      <c r="B751" s="72"/>
    </row>
    <row r="752" spans="2:2">
      <c r="B752" s="72"/>
    </row>
    <row r="753" spans="2:2">
      <c r="B753" s="72"/>
    </row>
    <row r="754" spans="2:2">
      <c r="B754" s="72"/>
    </row>
    <row r="755" spans="2:2">
      <c r="B755" s="72"/>
    </row>
    <row r="756" spans="2:2">
      <c r="B756" s="72"/>
    </row>
    <row r="757" spans="2:2">
      <c r="B757" s="72"/>
    </row>
    <row r="758" spans="2:2">
      <c r="B758" s="72"/>
    </row>
    <row r="759" spans="2:2">
      <c r="B759" s="72"/>
    </row>
    <row r="760" spans="2:2">
      <c r="B760" s="72"/>
    </row>
    <row r="761" spans="2:2">
      <c r="B761" s="72"/>
    </row>
    <row r="762" spans="2:2">
      <c r="B762" s="72"/>
    </row>
    <row r="763" spans="2:2">
      <c r="B763" s="72"/>
    </row>
    <row r="764" spans="2:2">
      <c r="B764" s="72"/>
    </row>
    <row r="765" spans="2:2">
      <c r="B765" s="72"/>
    </row>
    <row r="766" spans="2:2">
      <c r="B766" s="72"/>
    </row>
    <row r="767" spans="2:2">
      <c r="B767" s="72"/>
    </row>
    <row r="768" spans="2:2">
      <c r="B768" s="72"/>
    </row>
    <row r="769" spans="2:2">
      <c r="B769" s="72"/>
    </row>
    <row r="770" spans="2:2">
      <c r="B770" s="72"/>
    </row>
    <row r="771" spans="2:2">
      <c r="B771" s="72"/>
    </row>
    <row r="772" spans="2:2">
      <c r="B772" s="72"/>
    </row>
    <row r="773" spans="2:2">
      <c r="B773" s="72"/>
    </row>
    <row r="774" spans="2:2">
      <c r="B774" s="72"/>
    </row>
    <row r="775" spans="2:2">
      <c r="B775" s="72"/>
    </row>
    <row r="776" spans="2:2">
      <c r="B776" s="72"/>
    </row>
    <row r="777" spans="2:2">
      <c r="B777" s="72"/>
    </row>
    <row r="778" spans="2:2">
      <c r="B778" s="72"/>
    </row>
    <row r="779" spans="2:2">
      <c r="B779" s="72"/>
    </row>
    <row r="780" spans="2:2">
      <c r="B780" s="72"/>
    </row>
    <row r="781" spans="2:2">
      <c r="B781" s="72"/>
    </row>
    <row r="782" spans="2:2">
      <c r="B782" s="72"/>
    </row>
    <row r="783" spans="2:2">
      <c r="B783" s="72"/>
    </row>
    <row r="784" spans="2:2">
      <c r="B784" s="72"/>
    </row>
    <row r="785" spans="2:2">
      <c r="B785" s="72"/>
    </row>
    <row r="786" spans="2:2">
      <c r="B786" s="72"/>
    </row>
    <row r="787" spans="2:2">
      <c r="B787" s="72"/>
    </row>
    <row r="788" spans="2:2">
      <c r="B788" s="72"/>
    </row>
    <row r="789" spans="2:2">
      <c r="B789" s="72"/>
    </row>
    <row r="790" spans="2:2">
      <c r="B790" s="72"/>
    </row>
    <row r="791" spans="2:2">
      <c r="B791" s="72"/>
    </row>
    <row r="792" spans="2:2">
      <c r="B792" s="72"/>
    </row>
    <row r="793" spans="2:2">
      <c r="B793" s="72"/>
    </row>
    <row r="794" spans="2:2">
      <c r="B794" s="72"/>
    </row>
    <row r="795" spans="2:2">
      <c r="B795" s="72"/>
    </row>
    <row r="796" spans="2:2">
      <c r="B796" s="72"/>
    </row>
    <row r="797" spans="2:2">
      <c r="B797" s="72"/>
    </row>
    <row r="798" spans="2:2">
      <c r="B798" s="72"/>
    </row>
    <row r="799" spans="2:2">
      <c r="B799" s="72"/>
    </row>
    <row r="800" spans="2:2">
      <c r="B800" s="72"/>
    </row>
    <row r="801" spans="2:2">
      <c r="B801" s="72"/>
    </row>
    <row r="802" spans="2:2">
      <c r="B802" s="72"/>
    </row>
    <row r="803" spans="2:2">
      <c r="B803" s="72"/>
    </row>
    <row r="804" spans="2:2">
      <c r="B804" s="72"/>
    </row>
    <row r="805" spans="2:2">
      <c r="B805" s="72"/>
    </row>
    <row r="806" spans="2:2">
      <c r="B806" s="72"/>
    </row>
    <row r="807" spans="2:2">
      <c r="B807" s="72"/>
    </row>
    <row r="808" spans="2:2">
      <c r="B808" s="72"/>
    </row>
    <row r="809" spans="2:2">
      <c r="B809" s="72"/>
    </row>
    <row r="810" spans="2:2">
      <c r="B810" s="72"/>
    </row>
    <row r="811" spans="2:2">
      <c r="B811" s="72"/>
    </row>
    <row r="812" spans="2:2">
      <c r="B812" s="72"/>
    </row>
    <row r="813" spans="2:2">
      <c r="B813" s="72"/>
    </row>
    <row r="814" spans="2:2">
      <c r="B814" s="72"/>
    </row>
    <row r="815" spans="2:2">
      <c r="B815" s="72"/>
    </row>
    <row r="816" spans="2:2">
      <c r="B816" s="72"/>
    </row>
    <row r="817" spans="2:2">
      <c r="B817" s="72"/>
    </row>
    <row r="818" spans="2:2">
      <c r="B818" s="72"/>
    </row>
    <row r="819" spans="2:2">
      <c r="B819" s="72"/>
    </row>
    <row r="820" spans="2:2">
      <c r="B820" s="72"/>
    </row>
    <row r="821" spans="2:2">
      <c r="B821" s="72"/>
    </row>
    <row r="822" spans="2:2">
      <c r="B822" s="72"/>
    </row>
    <row r="823" spans="2:2">
      <c r="B823" s="72"/>
    </row>
    <row r="824" spans="2:2">
      <c r="B824" s="72"/>
    </row>
    <row r="825" spans="2:2">
      <c r="B825" s="72"/>
    </row>
    <row r="826" spans="2:2">
      <c r="B826" s="72"/>
    </row>
    <row r="827" spans="2:2">
      <c r="B827" s="72"/>
    </row>
    <row r="828" spans="2:2">
      <c r="B828" s="72"/>
    </row>
    <row r="829" spans="2:2">
      <c r="B829" s="72"/>
    </row>
    <row r="830" spans="2:2">
      <c r="B830" s="72"/>
    </row>
    <row r="831" spans="2:2">
      <c r="B831" s="72"/>
    </row>
    <row r="832" spans="2:2">
      <c r="B832" s="72"/>
    </row>
    <row r="833" spans="2:2">
      <c r="B833" s="72"/>
    </row>
    <row r="834" spans="2:2">
      <c r="B834" s="72"/>
    </row>
    <row r="835" spans="2:2">
      <c r="B835" s="72"/>
    </row>
    <row r="836" spans="2:2">
      <c r="B836" s="72"/>
    </row>
    <row r="837" spans="2:2">
      <c r="B837" s="72"/>
    </row>
    <row r="838" spans="2:2">
      <c r="B838" s="72"/>
    </row>
    <row r="839" spans="2:2">
      <c r="B839" s="72"/>
    </row>
    <row r="840" spans="2:2">
      <c r="B840" s="72"/>
    </row>
    <row r="841" spans="2:2">
      <c r="B841" s="72"/>
    </row>
    <row r="842" spans="2:2">
      <c r="B842" s="72"/>
    </row>
    <row r="843" spans="2:2">
      <c r="B843" s="72"/>
    </row>
    <row r="844" spans="2:2">
      <c r="B844" s="72"/>
    </row>
    <row r="845" spans="2:2">
      <c r="B845" s="72"/>
    </row>
    <row r="846" spans="2:2">
      <c r="B846" s="72"/>
    </row>
    <row r="847" spans="2:2">
      <c r="B847" s="72"/>
    </row>
    <row r="848" spans="2:2">
      <c r="B848" s="72"/>
    </row>
    <row r="849" spans="2:2">
      <c r="B849" s="72"/>
    </row>
    <row r="850" spans="2:2">
      <c r="B850" s="72"/>
    </row>
    <row r="851" spans="2:2">
      <c r="B851" s="72"/>
    </row>
    <row r="852" spans="2:2">
      <c r="B852" s="72"/>
    </row>
    <row r="853" spans="2:2">
      <c r="B853" s="72"/>
    </row>
    <row r="854" spans="2:2">
      <c r="B854" s="72"/>
    </row>
    <row r="855" spans="2:2">
      <c r="B855" s="72"/>
    </row>
    <row r="856" spans="2:2">
      <c r="B856" s="72"/>
    </row>
    <row r="857" spans="2:2">
      <c r="B857" s="72"/>
    </row>
    <row r="858" spans="2:2">
      <c r="B858" s="72"/>
    </row>
    <row r="859" spans="2:2">
      <c r="B859" s="72"/>
    </row>
    <row r="860" spans="2:2">
      <c r="B860" s="72"/>
    </row>
    <row r="861" spans="2:2">
      <c r="B861" s="72"/>
    </row>
    <row r="862" spans="2:2">
      <c r="B862" s="72"/>
    </row>
    <row r="863" spans="2:2">
      <c r="B863" s="72"/>
    </row>
    <row r="864" spans="2:2">
      <c r="B864" s="72"/>
    </row>
    <row r="865" spans="2:2">
      <c r="B865" s="72"/>
    </row>
    <row r="866" spans="2:2">
      <c r="B866" s="72"/>
    </row>
    <row r="867" spans="2:2">
      <c r="B867" s="72"/>
    </row>
    <row r="868" spans="2:2">
      <c r="B868" s="72"/>
    </row>
    <row r="869" spans="2:2">
      <c r="B869" s="72"/>
    </row>
    <row r="870" spans="2:2">
      <c r="B870" s="72"/>
    </row>
    <row r="871" spans="2:2">
      <c r="B871" s="72"/>
    </row>
    <row r="872" spans="2:2">
      <c r="B872" s="72"/>
    </row>
    <row r="873" spans="2:2">
      <c r="B873" s="72"/>
    </row>
    <row r="874" spans="2:2">
      <c r="B874" s="72"/>
    </row>
    <row r="875" spans="2:2">
      <c r="B875" s="72"/>
    </row>
    <row r="876" spans="2:2">
      <c r="B876" s="72"/>
    </row>
    <row r="877" spans="2:2">
      <c r="B877" s="72"/>
    </row>
    <row r="878" spans="2:2">
      <c r="B878" s="72"/>
    </row>
    <row r="879" spans="2:2">
      <c r="B879" s="72"/>
    </row>
    <row r="880" spans="2:2">
      <c r="B880" s="72"/>
    </row>
    <row r="881" spans="2:2">
      <c r="B881" s="72"/>
    </row>
    <row r="882" spans="2:2">
      <c r="B882" s="72"/>
    </row>
    <row r="883" spans="2:2">
      <c r="B883" s="72"/>
    </row>
    <row r="884" spans="2:2">
      <c r="B884" s="72"/>
    </row>
    <row r="885" spans="2:2">
      <c r="B885" s="72"/>
    </row>
    <row r="886" spans="2:2">
      <c r="B886" s="72"/>
    </row>
    <row r="887" spans="2:2">
      <c r="B887" s="72"/>
    </row>
    <row r="888" spans="2:2">
      <c r="B888" s="72"/>
    </row>
    <row r="889" spans="2:2">
      <c r="B889" s="72"/>
    </row>
    <row r="890" spans="2:2">
      <c r="B890" s="72"/>
    </row>
    <row r="891" spans="2:2">
      <c r="B891" s="72"/>
    </row>
    <row r="892" spans="2:2">
      <c r="B892" s="72"/>
    </row>
    <row r="893" spans="2:2">
      <c r="B893" s="72"/>
    </row>
    <row r="894" spans="2:2">
      <c r="B894" s="72"/>
    </row>
    <row r="895" spans="2:2">
      <c r="B895" s="72"/>
    </row>
    <row r="896" spans="2:2">
      <c r="B896" s="72"/>
    </row>
    <row r="897" spans="2:2">
      <c r="B897" s="72"/>
    </row>
    <row r="898" spans="2:2">
      <c r="B898" s="72"/>
    </row>
    <row r="899" spans="2:2">
      <c r="B899" s="72"/>
    </row>
    <row r="900" spans="2:2">
      <c r="B900" s="72"/>
    </row>
    <row r="901" spans="2:2">
      <c r="B901" s="72"/>
    </row>
    <row r="902" spans="2:2">
      <c r="B902" s="72"/>
    </row>
    <row r="903" spans="2:2">
      <c r="B903" s="72"/>
    </row>
    <row r="904" spans="2:2">
      <c r="B904" s="72"/>
    </row>
    <row r="905" spans="2:2">
      <c r="B905" s="72"/>
    </row>
    <row r="906" spans="2:2">
      <c r="B906" s="72"/>
    </row>
    <row r="907" spans="2:2">
      <c r="B907" s="72"/>
    </row>
    <row r="908" spans="2:2">
      <c r="B908" s="72"/>
    </row>
    <row r="909" spans="2:2">
      <c r="B909" s="72"/>
    </row>
    <row r="910" spans="2:2">
      <c r="B910" s="72"/>
    </row>
    <row r="911" spans="2:2">
      <c r="B911" s="72"/>
    </row>
    <row r="912" spans="2:2">
      <c r="B912" s="72"/>
    </row>
    <row r="913" spans="2:2">
      <c r="B913" s="72"/>
    </row>
    <row r="914" spans="2:2">
      <c r="B914" s="72"/>
    </row>
    <row r="915" spans="2:2">
      <c r="B915" s="72"/>
    </row>
    <row r="916" spans="2:2">
      <c r="B916" s="72"/>
    </row>
    <row r="917" spans="2:2">
      <c r="B917" s="72"/>
    </row>
    <row r="918" spans="2:2">
      <c r="B918" s="72"/>
    </row>
    <row r="919" spans="2:2">
      <c r="B919" s="72"/>
    </row>
    <row r="920" spans="2:2">
      <c r="B920" s="72"/>
    </row>
    <row r="921" spans="2:2">
      <c r="B921" s="72"/>
    </row>
    <row r="922" spans="2:2">
      <c r="B922" s="72"/>
    </row>
    <row r="923" spans="2:2">
      <c r="B923" s="72"/>
    </row>
    <row r="924" spans="2:2">
      <c r="B924" s="72"/>
    </row>
    <row r="925" spans="2:2">
      <c r="B925" s="72"/>
    </row>
    <row r="926" spans="2:2">
      <c r="B926" s="72"/>
    </row>
    <row r="927" spans="2:2">
      <c r="B927" s="72"/>
    </row>
    <row r="928" spans="2:2">
      <c r="B928" s="72"/>
    </row>
    <row r="929" spans="2:2">
      <c r="B929" s="72"/>
    </row>
    <row r="930" spans="2:2">
      <c r="B930" s="72"/>
    </row>
    <row r="931" spans="2:2">
      <c r="B931" s="72"/>
    </row>
    <row r="932" spans="2:2">
      <c r="B932" s="72"/>
    </row>
    <row r="933" spans="2:2">
      <c r="B933" s="72"/>
    </row>
    <row r="934" spans="2:2">
      <c r="B934" s="72"/>
    </row>
    <row r="935" spans="2:2">
      <c r="B935" s="72"/>
    </row>
    <row r="936" spans="2:2">
      <c r="B936" s="72"/>
    </row>
    <row r="937" spans="2:2">
      <c r="B937" s="72"/>
    </row>
    <row r="938" spans="2:2">
      <c r="B938" s="72"/>
    </row>
    <row r="939" spans="2:2">
      <c r="B939" s="72"/>
    </row>
    <row r="940" spans="2:2">
      <c r="B940" s="72"/>
    </row>
    <row r="941" spans="2:2">
      <c r="B941" s="72"/>
    </row>
    <row r="942" spans="2:2">
      <c r="B942" s="72"/>
    </row>
    <row r="943" spans="2:2">
      <c r="B943" s="72"/>
    </row>
    <row r="944" spans="2:2">
      <c r="B944" s="72"/>
    </row>
    <row r="945" spans="2:2">
      <c r="B945" s="72"/>
    </row>
    <row r="946" spans="2:2">
      <c r="B946" s="72"/>
    </row>
    <row r="947" spans="2:2">
      <c r="B947" s="72"/>
    </row>
    <row r="948" spans="2:2">
      <c r="B948" s="72"/>
    </row>
    <row r="949" spans="2:2">
      <c r="B949" s="72"/>
    </row>
    <row r="950" spans="2:2">
      <c r="B950" s="72"/>
    </row>
    <row r="951" spans="2:2">
      <c r="B951" s="72"/>
    </row>
    <row r="952" spans="2:2">
      <c r="B952" s="72"/>
    </row>
    <row r="953" spans="2:2">
      <c r="B953" s="72"/>
    </row>
    <row r="954" spans="2:2">
      <c r="B954" s="72"/>
    </row>
    <row r="955" spans="2:2">
      <c r="B955" s="72"/>
    </row>
    <row r="956" spans="2:2">
      <c r="B956" s="72"/>
    </row>
    <row r="957" spans="2:2">
      <c r="B957" s="72"/>
    </row>
    <row r="958" spans="2:2">
      <c r="B958" s="72"/>
    </row>
    <row r="959" spans="2:2">
      <c r="B959" s="72"/>
    </row>
    <row r="960" spans="2:2">
      <c r="B960" s="72"/>
    </row>
    <row r="961" spans="2:2">
      <c r="B961" s="72"/>
    </row>
    <row r="962" spans="2:2">
      <c r="B962" s="72"/>
    </row>
    <row r="963" spans="2:2">
      <c r="B963" s="72"/>
    </row>
    <row r="964" spans="2:2">
      <c r="B964" s="72"/>
    </row>
    <row r="965" spans="2:2">
      <c r="B965" s="72"/>
    </row>
    <row r="966" spans="2:2">
      <c r="B966" s="72"/>
    </row>
    <row r="967" spans="2:2">
      <c r="B967" s="72"/>
    </row>
    <row r="968" spans="2:2">
      <c r="B968" s="72"/>
    </row>
    <row r="969" spans="2:2">
      <c r="B969" s="72"/>
    </row>
    <row r="970" spans="2:2">
      <c r="B970" s="72"/>
    </row>
    <row r="971" spans="2:2">
      <c r="B971" s="72"/>
    </row>
    <row r="972" spans="2:2">
      <c r="B972" s="72"/>
    </row>
    <row r="973" spans="2:2">
      <c r="B973" s="72"/>
    </row>
    <row r="974" spans="2:2">
      <c r="B974" s="72"/>
    </row>
    <row r="975" spans="2:2">
      <c r="B975" s="72"/>
    </row>
    <row r="976" spans="2:2">
      <c r="B976" s="72"/>
    </row>
    <row r="977" spans="2:2">
      <c r="B977" s="72"/>
    </row>
    <row r="978" spans="2:2">
      <c r="B978" s="72"/>
    </row>
    <row r="979" spans="2:2">
      <c r="B979" s="72"/>
    </row>
    <row r="980" spans="2:2">
      <c r="B980" s="72"/>
    </row>
    <row r="981" spans="2:2">
      <c r="B981" s="72"/>
    </row>
    <row r="982" spans="2:2">
      <c r="B982" s="72"/>
    </row>
    <row r="983" spans="2:2">
      <c r="B983" s="72"/>
    </row>
    <row r="984" spans="2:2">
      <c r="B984" s="72"/>
    </row>
    <row r="985" spans="2:2">
      <c r="B985" s="72"/>
    </row>
    <row r="986" spans="2:2">
      <c r="B986" s="72"/>
    </row>
    <row r="987" spans="2:2">
      <c r="B987" s="72"/>
    </row>
    <row r="988" spans="2:2">
      <c r="B988" s="72"/>
    </row>
    <row r="989" spans="2:2">
      <c r="B989" s="72"/>
    </row>
    <row r="990" spans="2:2">
      <c r="B990" s="72"/>
    </row>
    <row r="991" spans="2:2">
      <c r="B991" s="72"/>
    </row>
    <row r="992" spans="2:2">
      <c r="B992" s="72"/>
    </row>
    <row r="993" spans="2:2">
      <c r="B993" s="72"/>
    </row>
    <row r="994" spans="2:2">
      <c r="B994" s="72"/>
    </row>
    <row r="995" spans="2:2">
      <c r="B995" s="72"/>
    </row>
    <row r="996" spans="2:2">
      <c r="B996" s="72"/>
    </row>
    <row r="997" spans="2:2">
      <c r="B997" s="72"/>
    </row>
    <row r="998" spans="2:2">
      <c r="B998" s="72"/>
    </row>
    <row r="999" spans="2:2">
      <c r="B999" s="72"/>
    </row>
    <row r="1000" spans="2:2">
      <c r="B1000" s="72"/>
    </row>
    <row r="1001" spans="2:2">
      <c r="B1001" s="72"/>
    </row>
    <row r="1002" spans="2:2">
      <c r="B1002" s="72"/>
    </row>
    <row r="1003" spans="2:2">
      <c r="B1003" s="72"/>
    </row>
    <row r="1004" spans="2:2">
      <c r="B1004" s="72"/>
    </row>
    <row r="1005" spans="2:2">
      <c r="B1005" s="72"/>
    </row>
    <row r="1006" spans="2:2">
      <c r="B1006" s="72"/>
    </row>
    <row r="1007" spans="2:2">
      <c r="B1007" s="72"/>
    </row>
    <row r="1008" spans="2:2">
      <c r="B1008" s="72"/>
    </row>
    <row r="1009" spans="2:2">
      <c r="B1009" s="72"/>
    </row>
    <row r="1010" spans="2:2">
      <c r="B1010" s="72"/>
    </row>
    <row r="1011" spans="2:2">
      <c r="B1011" s="72"/>
    </row>
    <row r="1012" spans="2:2">
      <c r="B1012" s="72"/>
    </row>
    <row r="1013" spans="2:2">
      <c r="B1013" s="72"/>
    </row>
    <row r="1014" spans="2:2">
      <c r="B1014" s="72"/>
    </row>
    <row r="1015" spans="2:2">
      <c r="B1015" s="72"/>
    </row>
    <row r="1016" spans="2:2">
      <c r="B1016" s="72"/>
    </row>
    <row r="1017" spans="2:2">
      <c r="B1017" s="72"/>
    </row>
    <row r="1018" spans="2:2">
      <c r="B1018" s="72"/>
    </row>
    <row r="1019" spans="2:2">
      <c r="B1019" s="72"/>
    </row>
    <row r="1020" spans="2:2">
      <c r="B1020" s="72"/>
    </row>
    <row r="1021" spans="2:2">
      <c r="B1021" s="72"/>
    </row>
    <row r="1022" spans="2:2">
      <c r="B1022" s="72"/>
    </row>
    <row r="1023" spans="2:2">
      <c r="B1023" s="72"/>
    </row>
    <row r="1024" spans="2:2">
      <c r="B1024" s="72"/>
    </row>
    <row r="1025" spans="2:2">
      <c r="B1025" s="72"/>
    </row>
    <row r="1026" spans="2:2">
      <c r="B1026" s="72"/>
    </row>
    <row r="1027" spans="2:2">
      <c r="B1027" s="72"/>
    </row>
    <row r="1028" spans="2:2">
      <c r="B1028" s="72"/>
    </row>
    <row r="1029" spans="2:2">
      <c r="B1029" s="72"/>
    </row>
    <row r="1030" spans="2:2">
      <c r="B1030" s="72"/>
    </row>
    <row r="1031" spans="2:2">
      <c r="B1031" s="72"/>
    </row>
    <row r="1032" spans="2:2">
      <c r="B1032" s="72"/>
    </row>
    <row r="1033" spans="2:2">
      <c r="B1033" s="72"/>
    </row>
    <row r="1034" spans="2:2">
      <c r="B1034" s="72"/>
    </row>
    <row r="1035" spans="2:2">
      <c r="B1035" s="72"/>
    </row>
    <row r="1036" spans="2:2">
      <c r="B1036" s="72"/>
    </row>
    <row r="1037" spans="2:2">
      <c r="B1037" s="72"/>
    </row>
    <row r="1038" spans="2:2">
      <c r="B1038" s="72"/>
    </row>
    <row r="1039" spans="2:2">
      <c r="B1039" s="72"/>
    </row>
    <row r="1040" spans="2:2">
      <c r="B1040" s="72"/>
    </row>
    <row r="1041" spans="2:2">
      <c r="B1041" s="72"/>
    </row>
    <row r="1042" spans="2:2">
      <c r="B1042" s="72"/>
    </row>
    <row r="1043" spans="2:2">
      <c r="B1043" s="72"/>
    </row>
    <row r="1044" spans="2:2">
      <c r="B1044" s="72"/>
    </row>
    <row r="1045" spans="2:2">
      <c r="B1045" s="72"/>
    </row>
    <row r="1046" spans="2:2">
      <c r="B1046" s="72"/>
    </row>
    <row r="1047" spans="2:2">
      <c r="B1047" s="72"/>
    </row>
    <row r="1048" spans="2:2">
      <c r="B1048" s="72"/>
    </row>
    <row r="1049" spans="2:2">
      <c r="B1049" s="72"/>
    </row>
    <row r="1050" spans="2:2">
      <c r="B1050" s="72"/>
    </row>
    <row r="1051" spans="2:2">
      <c r="B1051" s="72"/>
    </row>
    <row r="1052" spans="2:2">
      <c r="B1052" s="72"/>
    </row>
    <row r="1053" spans="2:2">
      <c r="B1053" s="72"/>
    </row>
    <row r="1054" spans="2:2">
      <c r="B1054" s="72"/>
    </row>
    <row r="1055" spans="2:2">
      <c r="B1055" s="72"/>
    </row>
    <row r="1056" spans="2:2">
      <c r="B1056" s="72"/>
    </row>
    <row r="1057" spans="2:2">
      <c r="B1057" s="72"/>
    </row>
    <row r="1058" spans="2:2">
      <c r="B1058" s="72"/>
    </row>
  </sheetData>
  <phoneticPr fontId="5" type="noConversion"/>
  <pageMargins left="0.75" right="0.75" top="1" bottom="1"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indexed="17"/>
    <pageSetUpPr fitToPage="1"/>
  </sheetPr>
  <dimension ref="A1:O386"/>
  <sheetViews>
    <sheetView workbookViewId="0">
      <selection activeCell="A4" sqref="A4:E4"/>
    </sheetView>
  </sheetViews>
  <sheetFormatPr defaultRowHeight="12.75"/>
  <cols>
    <col min="1" max="1" width="4.42578125" bestFit="1" customWidth="1"/>
    <col min="2" max="2" width="49.42578125" bestFit="1" customWidth="1"/>
    <col min="3" max="3" width="17.42578125" style="16" bestFit="1" customWidth="1"/>
    <col min="4" max="4" width="20.85546875" bestFit="1" customWidth="1"/>
    <col min="5" max="5" width="16.7109375" bestFit="1" customWidth="1"/>
    <col min="6" max="6" width="14" bestFit="1" customWidth="1"/>
    <col min="7" max="8" width="10.28515625" bestFit="1" customWidth="1"/>
    <col min="9" max="9" width="11.28515625" bestFit="1" customWidth="1"/>
    <col min="10" max="12" width="10.28515625" bestFit="1" customWidth="1"/>
    <col min="13" max="13" width="12.85546875" bestFit="1" customWidth="1"/>
    <col min="14" max="15" width="10.28515625" bestFit="1" customWidth="1"/>
  </cols>
  <sheetData>
    <row r="1" spans="1:6">
      <c r="E1" t="str">
        <f>A!D1</f>
        <v>Docket No. RP16-299-000</v>
      </c>
    </row>
    <row r="2" spans="1:6">
      <c r="E2" t="s">
        <v>113</v>
      </c>
    </row>
    <row r="4" spans="1:6">
      <c r="A4" s="927" t="str">
        <f>E!A4</f>
        <v>Tuscarora Gas Transmission Company</v>
      </c>
      <c r="B4" s="927"/>
      <c r="C4" s="927"/>
      <c r="D4" s="927"/>
      <c r="E4" s="927"/>
      <c r="F4" s="9"/>
    </row>
    <row r="5" spans="1:6">
      <c r="A5" s="927" t="s">
        <v>114</v>
      </c>
      <c r="B5" s="927"/>
      <c r="C5" s="927"/>
      <c r="D5" s="927"/>
      <c r="E5" s="927"/>
      <c r="F5" s="9"/>
    </row>
    <row r="6" spans="1:6">
      <c r="A6" s="929" t="str">
        <f>E!A6</f>
        <v>For the Thirteen Months Ended December 31, 2015</v>
      </c>
      <c r="B6" s="929"/>
      <c r="C6" s="929"/>
      <c r="D6" s="929"/>
      <c r="E6" s="929"/>
      <c r="F6" s="9"/>
    </row>
    <row r="7" spans="1:6">
      <c r="A7" s="927"/>
      <c r="B7" s="927"/>
      <c r="C7" s="927"/>
      <c r="D7" s="927"/>
      <c r="E7" s="927"/>
    </row>
    <row r="8" spans="1:6">
      <c r="A8" s="2"/>
      <c r="B8" s="2"/>
      <c r="C8" s="2"/>
      <c r="D8" s="2"/>
      <c r="E8" s="2"/>
    </row>
    <row r="9" spans="1:6">
      <c r="F9" s="2"/>
    </row>
    <row r="10" spans="1:6">
      <c r="A10" t="s">
        <v>352</v>
      </c>
      <c r="C10" s="14" t="s">
        <v>115</v>
      </c>
      <c r="D10" s="2"/>
      <c r="F10" s="2"/>
    </row>
    <row r="11" spans="1:6">
      <c r="A11" s="1" t="s">
        <v>353</v>
      </c>
      <c r="B11" s="3" t="s">
        <v>354</v>
      </c>
      <c r="C11" s="33" t="s">
        <v>116</v>
      </c>
      <c r="D11" s="17" t="s">
        <v>109</v>
      </c>
      <c r="E11" s="3"/>
      <c r="F11" s="3"/>
    </row>
    <row r="12" spans="1:6">
      <c r="B12" s="2" t="s">
        <v>361</v>
      </c>
      <c r="C12" s="14" t="s">
        <v>362</v>
      </c>
      <c r="D12" s="2" t="s">
        <v>366</v>
      </c>
    </row>
    <row r="13" spans="1:6">
      <c r="C13" s="14" t="s">
        <v>365</v>
      </c>
      <c r="D13" s="2" t="s">
        <v>365</v>
      </c>
    </row>
    <row r="14" spans="1:6">
      <c r="A14">
        <v>1</v>
      </c>
      <c r="B14" t="s">
        <v>766</v>
      </c>
      <c r="C14" s="278">
        <f>20807.26</f>
        <v>20807.259999999998</v>
      </c>
      <c r="D14" s="256">
        <v>32914.590000000004</v>
      </c>
    </row>
    <row r="15" spans="1:6">
      <c r="A15">
        <f>+A14+1</f>
        <v>2</v>
      </c>
      <c r="B15" s="24" t="s">
        <v>761</v>
      </c>
      <c r="C15" s="278">
        <f>C14</f>
        <v>20807.259999999998</v>
      </c>
      <c r="D15" s="256">
        <v>26331.670000000006</v>
      </c>
    </row>
    <row r="16" spans="1:6">
      <c r="A16">
        <f>A15+1</f>
        <v>3</v>
      </c>
      <c r="B16" s="24" t="str">
        <f>'Title Input and Macros'!B17</f>
        <v>February</v>
      </c>
      <c r="C16" s="278">
        <f>C15-0.03</f>
        <v>20807.23</v>
      </c>
      <c r="D16" s="256">
        <v>19748.750000000007</v>
      </c>
    </row>
    <row r="17" spans="1:14">
      <c r="A17">
        <f>A16+1</f>
        <v>4</v>
      </c>
      <c r="B17" s="24" t="str">
        <f>'Title Input and Macros'!B18</f>
        <v>March</v>
      </c>
      <c r="C17" s="278">
        <f>C16+3892.27</f>
        <v>24699.5</v>
      </c>
      <c r="D17" s="256">
        <v>13165.830000000007</v>
      </c>
    </row>
    <row r="18" spans="1:14">
      <c r="A18">
        <f t="shared" ref="A18:A30" si="0">A17+1</f>
        <v>5</v>
      </c>
      <c r="B18" s="24" t="str">
        <f>'Title Input and Macros'!B19</f>
        <v>April</v>
      </c>
      <c r="C18" s="278">
        <f>C17</f>
        <v>24699.5</v>
      </c>
      <c r="D18" s="256">
        <v>6582.9100000000071</v>
      </c>
    </row>
    <row r="19" spans="1:14">
      <c r="A19">
        <f t="shared" si="0"/>
        <v>6</v>
      </c>
      <c r="B19" s="24" t="str">
        <f>'Title Input and Macros'!B20</f>
        <v>May</v>
      </c>
      <c r="C19" s="278">
        <f>C18</f>
        <v>24699.5</v>
      </c>
      <c r="D19" s="256">
        <v>7.2759576141834259E-12</v>
      </c>
    </row>
    <row r="20" spans="1:14">
      <c r="A20">
        <f t="shared" si="0"/>
        <v>7</v>
      </c>
      <c r="B20" s="24" t="str">
        <f>'Title Input and Macros'!B21</f>
        <v>June</v>
      </c>
      <c r="C20" s="278">
        <f>C19+292.56</f>
        <v>24992.06</v>
      </c>
      <c r="D20" s="256">
        <v>59409.30000000001</v>
      </c>
      <c r="E20" s="107"/>
      <c r="F20" s="230"/>
    </row>
    <row r="21" spans="1:14">
      <c r="A21">
        <f t="shared" si="0"/>
        <v>8</v>
      </c>
      <c r="B21" s="24" t="str">
        <f>'Title Input and Macros'!B22</f>
        <v>July</v>
      </c>
      <c r="C21" s="278">
        <f>C20+572.4</f>
        <v>25564.460000000003</v>
      </c>
      <c r="D21" s="256">
        <v>66275.140000000014</v>
      </c>
    </row>
    <row r="22" spans="1:14">
      <c r="A22">
        <f t="shared" si="0"/>
        <v>9</v>
      </c>
      <c r="B22" s="24" t="str">
        <f>'Title Input and Macros'!B23</f>
        <v>August</v>
      </c>
      <c r="C22" s="278">
        <f>C21:C21</f>
        <v>25564.460000000003</v>
      </c>
      <c r="D22" s="256">
        <v>59647.62000000001</v>
      </c>
    </row>
    <row r="23" spans="1:14">
      <c r="A23">
        <f t="shared" si="0"/>
        <v>10</v>
      </c>
      <c r="B23" s="24" t="str">
        <f>'Title Input and Macros'!B24</f>
        <v>September</v>
      </c>
      <c r="C23" s="278">
        <f>C22</f>
        <v>25564.460000000003</v>
      </c>
      <c r="D23" s="256">
        <v>53020.100000000006</v>
      </c>
    </row>
    <row r="24" spans="1:14">
      <c r="A24">
        <f t="shared" si="0"/>
        <v>11</v>
      </c>
      <c r="B24" s="24" t="str">
        <f>'Title Input and Macros'!B25</f>
        <v>October</v>
      </c>
      <c r="C24" s="278">
        <f>C23</f>
        <v>25564.460000000003</v>
      </c>
      <c r="D24" s="256">
        <v>46392.58</v>
      </c>
    </row>
    <row r="25" spans="1:14">
      <c r="A25">
        <f t="shared" si="0"/>
        <v>12</v>
      </c>
      <c r="B25" s="24" t="str">
        <f>'Title Input and Macros'!B26</f>
        <v>November</v>
      </c>
      <c r="C25" s="278">
        <f>C24</f>
        <v>25564.460000000003</v>
      </c>
      <c r="D25" s="256">
        <v>39765.06</v>
      </c>
      <c r="E25" s="229"/>
      <c r="F25" s="229"/>
      <c r="G25" s="229"/>
      <c r="H25" s="229"/>
      <c r="I25" s="229"/>
      <c r="J25" s="229"/>
      <c r="K25" s="229"/>
      <c r="L25" s="229"/>
      <c r="M25" s="229"/>
      <c r="N25" s="229"/>
    </row>
    <row r="26" spans="1:14">
      <c r="A26">
        <f t="shared" si="0"/>
        <v>13</v>
      </c>
      <c r="B26" s="24" t="str">
        <f>'Title Input and Macros'!B27</f>
        <v>December</v>
      </c>
      <c r="C26" s="278">
        <f>C25</f>
        <v>25564.460000000003</v>
      </c>
      <c r="D26" s="256">
        <v>33137.539999999994</v>
      </c>
      <c r="E26" s="210"/>
      <c r="F26" s="210"/>
    </row>
    <row r="27" spans="1:14" ht="13.5" thickBot="1">
      <c r="A27">
        <f>A26+1</f>
        <v>14</v>
      </c>
      <c r="B27" s="24" t="s">
        <v>356</v>
      </c>
      <c r="C27" s="34">
        <f>SUM(C14:C26)</f>
        <v>314899.07</v>
      </c>
      <c r="D27" s="34">
        <f>SUM(D14:D26)</f>
        <v>456391.09</v>
      </c>
    </row>
    <row r="28" spans="1:14" ht="13.5" thickTop="1">
      <c r="A28">
        <f>A27+1</f>
        <v>15</v>
      </c>
      <c r="B28" s="24" t="s">
        <v>445</v>
      </c>
      <c r="C28" s="5">
        <f>ROUND(C27/13,0)</f>
        <v>24223</v>
      </c>
      <c r="D28" s="5">
        <f>ROUND(D27/13,0)</f>
        <v>35107</v>
      </c>
    </row>
    <row r="29" spans="1:14" ht="13.5">
      <c r="A29">
        <f t="shared" si="0"/>
        <v>16</v>
      </c>
      <c r="B29" s="24" t="s">
        <v>282</v>
      </c>
      <c r="C29" s="129"/>
      <c r="D29" s="348">
        <v>0</v>
      </c>
    </row>
    <row r="30" spans="1:14" ht="13.5" thickBot="1">
      <c r="A30">
        <f t="shared" si="0"/>
        <v>17</v>
      </c>
      <c r="B30" s="24" t="s">
        <v>127</v>
      </c>
      <c r="C30" s="34">
        <f>SUM(C28:C29)</f>
        <v>24223</v>
      </c>
      <c r="D30" s="34">
        <f>SUM(D28:D29)</f>
        <v>35107</v>
      </c>
    </row>
    <row r="31" spans="1:14" ht="13.5" thickTop="1">
      <c r="B31" s="24"/>
      <c r="D31" s="5"/>
    </row>
    <row r="32" spans="1:14">
      <c r="B32" s="24"/>
      <c r="D32" s="5"/>
      <c r="E32" s="210"/>
    </row>
    <row r="33" spans="2:15" ht="13.5">
      <c r="B33" s="231"/>
      <c r="C33" s="210"/>
      <c r="D33" s="210"/>
      <c r="E33" s="210"/>
    </row>
    <row r="34" spans="2:15">
      <c r="B34" s="24"/>
      <c r="D34" s="5"/>
    </row>
    <row r="35" spans="2:15">
      <c r="D35" s="5"/>
    </row>
    <row r="36" spans="2:15">
      <c r="D36" s="16"/>
    </row>
    <row r="37" spans="2:15">
      <c r="D37" s="16"/>
      <c r="E37" s="229"/>
      <c r="F37" s="229"/>
      <c r="G37" s="229"/>
      <c r="H37" s="229"/>
      <c r="I37" s="229"/>
      <c r="J37" s="229"/>
      <c r="K37" s="229"/>
      <c r="L37" s="229"/>
      <c r="M37" s="229"/>
      <c r="N37" s="229"/>
      <c r="O37" s="229"/>
    </row>
    <row r="38" spans="2:15">
      <c r="D38" s="16"/>
      <c r="E38" s="229"/>
      <c r="F38" s="229"/>
      <c r="G38" s="229"/>
      <c r="H38" s="229"/>
      <c r="I38" s="229"/>
      <c r="J38" s="229"/>
      <c r="K38" s="229"/>
      <c r="L38" s="229"/>
      <c r="M38" s="229"/>
      <c r="N38" s="229"/>
      <c r="O38" s="229"/>
    </row>
    <row r="39" spans="2:15">
      <c r="D39" s="16"/>
      <c r="E39" s="229"/>
      <c r="F39" s="229"/>
      <c r="G39" s="229"/>
      <c r="H39" s="229"/>
      <c r="I39" s="229"/>
      <c r="J39" s="229"/>
      <c r="K39" s="229"/>
      <c r="L39" s="229"/>
      <c r="M39" s="229"/>
      <c r="N39" s="229"/>
      <c r="O39" s="229"/>
    </row>
    <row r="40" spans="2:15">
      <c r="D40" s="16"/>
      <c r="E40" s="229"/>
      <c r="F40" s="229"/>
      <c r="G40" s="229"/>
      <c r="H40" s="229"/>
      <c r="I40" s="229"/>
      <c r="J40" s="229"/>
      <c r="K40" s="229"/>
      <c r="L40" s="229"/>
      <c r="M40" s="229"/>
      <c r="N40" s="229"/>
      <c r="O40" s="229"/>
    </row>
    <row r="41" spans="2:15">
      <c r="D41" s="16"/>
      <c r="E41" s="229"/>
      <c r="F41" s="229"/>
      <c r="G41" s="229"/>
      <c r="H41" s="229"/>
      <c r="I41" s="229"/>
      <c r="J41" s="229"/>
      <c r="K41" s="229"/>
      <c r="L41" s="229"/>
      <c r="M41" s="229"/>
      <c r="N41" s="229"/>
      <c r="O41" s="229"/>
    </row>
    <row r="42" spans="2:15">
      <c r="D42" s="16"/>
      <c r="E42" s="229"/>
      <c r="F42" s="229"/>
      <c r="G42" s="229"/>
      <c r="H42" s="229"/>
      <c r="I42" s="229"/>
      <c r="J42" s="229"/>
      <c r="K42" s="229"/>
      <c r="L42" s="229"/>
      <c r="M42" s="229"/>
      <c r="N42" s="229"/>
      <c r="O42" s="229"/>
    </row>
    <row r="43" spans="2:15">
      <c r="D43" s="16"/>
      <c r="E43" s="229"/>
      <c r="F43" s="229"/>
      <c r="G43" s="229"/>
      <c r="H43" s="229"/>
      <c r="I43" s="229"/>
      <c r="J43" s="229"/>
      <c r="K43" s="229"/>
      <c r="L43" s="229"/>
      <c r="M43" s="229"/>
      <c r="N43" s="229"/>
      <c r="O43" s="229"/>
    </row>
    <row r="44" spans="2:15">
      <c r="D44" s="16"/>
      <c r="E44" s="229"/>
      <c r="F44" s="229"/>
      <c r="G44" s="229"/>
      <c r="H44" s="229"/>
      <c r="I44" s="229"/>
      <c r="J44" s="229"/>
      <c r="K44" s="229"/>
      <c r="L44" s="229"/>
      <c r="M44" s="229"/>
      <c r="N44" s="229"/>
      <c r="O44" s="229"/>
    </row>
    <row r="45" spans="2:15">
      <c r="D45" s="16"/>
      <c r="E45" s="229"/>
      <c r="F45" s="229"/>
      <c r="G45" s="229"/>
      <c r="H45" s="229"/>
      <c r="I45" s="229"/>
      <c r="J45" s="229"/>
      <c r="K45" s="229"/>
      <c r="L45" s="229"/>
      <c r="M45" s="229"/>
      <c r="N45" s="229"/>
      <c r="O45" s="229"/>
    </row>
    <row r="46" spans="2:15">
      <c r="D46" s="16"/>
      <c r="E46" s="229"/>
      <c r="F46" s="229"/>
      <c r="G46" s="229"/>
      <c r="H46" s="229"/>
      <c r="I46" s="229"/>
      <c r="J46" s="229"/>
      <c r="K46" s="229"/>
      <c r="L46" s="229"/>
      <c r="M46" s="229"/>
      <c r="N46" s="229"/>
      <c r="O46" s="229"/>
    </row>
    <row r="47" spans="2:15">
      <c r="D47" s="16"/>
      <c r="E47" s="229"/>
      <c r="F47" s="229"/>
      <c r="G47" s="229"/>
      <c r="H47" s="229"/>
      <c r="I47" s="229"/>
      <c r="J47" s="229"/>
      <c r="K47" s="229"/>
      <c r="L47" s="229"/>
      <c r="M47" s="229"/>
      <c r="N47" s="229"/>
      <c r="O47" s="229"/>
    </row>
    <row r="48" spans="2:15">
      <c r="D48" s="16"/>
      <c r="E48" s="229"/>
      <c r="F48" s="229"/>
      <c r="G48" s="229"/>
      <c r="H48" s="229"/>
      <c r="I48" s="229"/>
      <c r="J48" s="229"/>
      <c r="K48" s="229"/>
      <c r="L48" s="229"/>
      <c r="M48" s="229"/>
      <c r="N48" s="229"/>
      <c r="O48" s="229"/>
    </row>
    <row r="49" spans="3:15">
      <c r="D49" s="16"/>
      <c r="E49" s="229"/>
      <c r="F49" s="229"/>
      <c r="G49" s="229"/>
      <c r="H49" s="229"/>
      <c r="I49" s="229"/>
      <c r="J49" s="229"/>
      <c r="K49" s="229"/>
      <c r="L49" s="229"/>
      <c r="M49" s="229"/>
      <c r="N49" s="229"/>
      <c r="O49" s="229"/>
    </row>
    <row r="50" spans="3:15">
      <c r="D50" s="16"/>
      <c r="E50" s="229"/>
      <c r="F50" s="229"/>
      <c r="G50" s="229"/>
      <c r="H50" s="229"/>
      <c r="I50" s="229"/>
      <c r="J50" s="229"/>
      <c r="K50" s="229"/>
      <c r="L50" s="229"/>
      <c r="M50" s="229"/>
      <c r="N50" s="229"/>
      <c r="O50" s="229"/>
    </row>
    <row r="51" spans="3:15">
      <c r="D51" s="229"/>
      <c r="E51" s="229"/>
      <c r="F51" s="229"/>
      <c r="G51" s="229"/>
      <c r="H51" s="229"/>
      <c r="I51" s="229"/>
      <c r="J51" s="229"/>
      <c r="K51" s="229"/>
      <c r="L51" s="229"/>
      <c r="M51" s="229"/>
      <c r="N51" s="229"/>
      <c r="O51" s="229"/>
    </row>
    <row r="52" spans="3:15">
      <c r="D52" s="229"/>
      <c r="E52" s="229"/>
      <c r="F52" s="229"/>
      <c r="G52" s="229"/>
      <c r="H52" s="229"/>
      <c r="I52" s="229"/>
      <c r="J52" s="229"/>
      <c r="K52" s="229"/>
      <c r="L52" s="229"/>
      <c r="M52" s="229"/>
      <c r="N52" s="229"/>
      <c r="O52" s="229"/>
    </row>
    <row r="53" spans="3:15">
      <c r="C53" s="229"/>
      <c r="D53" s="229"/>
      <c r="E53" s="229"/>
      <c r="F53" s="229"/>
      <c r="G53" s="229"/>
      <c r="H53" s="229"/>
      <c r="I53" s="229"/>
      <c r="J53" s="229"/>
      <c r="K53" s="229"/>
      <c r="L53" s="229"/>
      <c r="M53" s="229"/>
      <c r="N53" s="229"/>
      <c r="O53" s="229"/>
    </row>
    <row r="54" spans="3:15">
      <c r="C54" s="229"/>
      <c r="D54" s="229"/>
      <c r="E54" s="229"/>
      <c r="F54" s="229"/>
      <c r="G54" s="229"/>
      <c r="H54" s="229"/>
      <c r="I54" s="229"/>
      <c r="J54" s="229"/>
      <c r="K54" s="229"/>
      <c r="L54" s="229"/>
      <c r="M54" s="229"/>
      <c r="N54" s="229"/>
      <c r="O54" s="229"/>
    </row>
    <row r="55" spans="3:15">
      <c r="C55" s="229"/>
      <c r="D55" s="229"/>
      <c r="E55" s="229"/>
      <c r="F55" s="229"/>
      <c r="G55" s="229"/>
      <c r="H55" s="229"/>
      <c r="I55" s="229"/>
      <c r="J55" s="229"/>
      <c r="K55" s="229"/>
      <c r="L55" s="229"/>
      <c r="M55" s="229"/>
      <c r="N55" s="229"/>
      <c r="O55" s="229"/>
    </row>
    <row r="56" spans="3:15">
      <c r="C56" s="229"/>
      <c r="D56" s="229"/>
      <c r="E56" s="229"/>
      <c r="F56" s="229"/>
      <c r="G56" s="229"/>
      <c r="H56" s="229"/>
      <c r="I56" s="229"/>
      <c r="J56" s="229"/>
      <c r="K56" s="229"/>
      <c r="L56" s="229"/>
      <c r="M56" s="229"/>
      <c r="N56" s="229"/>
      <c r="O56" s="229"/>
    </row>
    <row r="57" spans="3:15">
      <c r="D57" s="5"/>
    </row>
    <row r="58" spans="3:15">
      <c r="D58" s="5"/>
    </row>
    <row r="59" spans="3:15">
      <c r="D59" s="5"/>
    </row>
    <row r="60" spans="3:15">
      <c r="D60" s="5"/>
    </row>
    <row r="61" spans="3:15">
      <c r="D61" s="5"/>
    </row>
    <row r="62" spans="3:15">
      <c r="D62" s="5"/>
    </row>
    <row r="63" spans="3:15">
      <c r="D63" s="5"/>
    </row>
    <row r="64" spans="3:15">
      <c r="D64" s="5"/>
    </row>
    <row r="65" spans="4:4">
      <c r="D65" s="5"/>
    </row>
    <row r="66" spans="4:4">
      <c r="D66" s="5"/>
    </row>
    <row r="67" spans="4:4">
      <c r="D67" s="5"/>
    </row>
    <row r="68" spans="4:4">
      <c r="D68" s="5"/>
    </row>
    <row r="69" spans="4:4">
      <c r="D69" s="5"/>
    </row>
    <row r="70" spans="4:4">
      <c r="D70" s="5"/>
    </row>
    <row r="71" spans="4:4">
      <c r="D71" s="5"/>
    </row>
    <row r="72" spans="4:4">
      <c r="D72" s="5"/>
    </row>
    <row r="73" spans="4:4">
      <c r="D73" s="5"/>
    </row>
    <row r="74" spans="4:4">
      <c r="D74" s="5"/>
    </row>
    <row r="75" spans="4:4">
      <c r="D75" s="5"/>
    </row>
    <row r="76" spans="4:4">
      <c r="D76" s="5"/>
    </row>
    <row r="77" spans="4:4">
      <c r="D77" s="5"/>
    </row>
    <row r="78" spans="4:4">
      <c r="D78" s="5"/>
    </row>
    <row r="79" spans="4:4">
      <c r="D79" s="5"/>
    </row>
    <row r="80" spans="4:4">
      <c r="D80" s="5"/>
    </row>
    <row r="81" spans="4:4">
      <c r="D81" s="5"/>
    </row>
    <row r="82" spans="4:4">
      <c r="D82" s="5"/>
    </row>
    <row r="83" spans="4:4">
      <c r="D83" s="5"/>
    </row>
    <row r="84" spans="4:4">
      <c r="D84" s="5"/>
    </row>
    <row r="85" spans="4:4">
      <c r="D85" s="5"/>
    </row>
    <row r="86" spans="4:4">
      <c r="D86" s="5"/>
    </row>
    <row r="87" spans="4:4">
      <c r="D87" s="5"/>
    </row>
    <row r="88" spans="4:4">
      <c r="D88" s="5"/>
    </row>
    <row r="89" spans="4:4">
      <c r="D89" s="5"/>
    </row>
    <row r="90" spans="4:4">
      <c r="D90" s="5"/>
    </row>
    <row r="91" spans="4:4">
      <c r="D91" s="5"/>
    </row>
    <row r="92" spans="4:4">
      <c r="D92" s="5"/>
    </row>
    <row r="93" spans="4:4">
      <c r="D93" s="5"/>
    </row>
    <row r="94" spans="4:4">
      <c r="D94" s="5"/>
    </row>
    <row r="95" spans="4:4">
      <c r="D95" s="5"/>
    </row>
    <row r="96" spans="4:4">
      <c r="D96" s="5"/>
    </row>
    <row r="97" spans="4:4">
      <c r="D97" s="5"/>
    </row>
    <row r="98" spans="4:4">
      <c r="D98" s="5"/>
    </row>
    <row r="99" spans="4:4">
      <c r="D99" s="5"/>
    </row>
    <row r="100" spans="4:4">
      <c r="D100" s="5"/>
    </row>
    <row r="101" spans="4:4">
      <c r="D101" s="5"/>
    </row>
    <row r="102" spans="4:4">
      <c r="D102" s="5"/>
    </row>
    <row r="103" spans="4:4">
      <c r="D103" s="5"/>
    </row>
    <row r="104" spans="4:4">
      <c r="D104" s="5"/>
    </row>
    <row r="105" spans="4:4">
      <c r="D105" s="5"/>
    </row>
    <row r="106" spans="4:4">
      <c r="D106" s="5"/>
    </row>
    <row r="107" spans="4:4">
      <c r="D107" s="5"/>
    </row>
    <row r="108" spans="4:4">
      <c r="D108" s="5"/>
    </row>
    <row r="109" spans="4:4">
      <c r="D109" s="5"/>
    </row>
    <row r="110" spans="4:4">
      <c r="D110" s="5"/>
    </row>
    <row r="111" spans="4:4">
      <c r="D111" s="5"/>
    </row>
    <row r="112" spans="4:4">
      <c r="D112" s="5"/>
    </row>
    <row r="113" spans="4:4">
      <c r="D113" s="5"/>
    </row>
    <row r="114" spans="4:4">
      <c r="D114" s="5"/>
    </row>
    <row r="115" spans="4:4">
      <c r="D115" s="5"/>
    </row>
    <row r="116" spans="4:4">
      <c r="D116" s="5"/>
    </row>
    <row r="117" spans="4:4">
      <c r="D117" s="5"/>
    </row>
    <row r="118" spans="4:4">
      <c r="D118" s="5"/>
    </row>
    <row r="119" spans="4:4">
      <c r="D119" s="5"/>
    </row>
    <row r="120" spans="4:4">
      <c r="D120" s="5"/>
    </row>
    <row r="121" spans="4:4">
      <c r="D121" s="5"/>
    </row>
    <row r="122" spans="4:4">
      <c r="D122" s="5"/>
    </row>
    <row r="123" spans="4:4">
      <c r="D123" s="5"/>
    </row>
    <row r="124" spans="4:4">
      <c r="D124" s="5"/>
    </row>
    <row r="125" spans="4:4">
      <c r="D125" s="5"/>
    </row>
    <row r="126" spans="4:4">
      <c r="D126" s="5"/>
    </row>
    <row r="127" spans="4:4">
      <c r="D127" s="5"/>
    </row>
    <row r="128" spans="4:4">
      <c r="D128" s="5"/>
    </row>
    <row r="129" spans="4:4">
      <c r="D129" s="5"/>
    </row>
    <row r="130" spans="4:4">
      <c r="D130" s="5"/>
    </row>
    <row r="131" spans="4:4">
      <c r="D131" s="5"/>
    </row>
    <row r="132" spans="4:4">
      <c r="D132" s="5"/>
    </row>
    <row r="133" spans="4:4">
      <c r="D133" s="5"/>
    </row>
    <row r="134" spans="4:4">
      <c r="D134" s="5"/>
    </row>
    <row r="135" spans="4:4">
      <c r="D135" s="5"/>
    </row>
    <row r="136" spans="4:4">
      <c r="D136" s="5"/>
    </row>
    <row r="137" spans="4:4">
      <c r="D137" s="5"/>
    </row>
    <row r="138" spans="4:4">
      <c r="D138" s="5"/>
    </row>
    <row r="139" spans="4:4">
      <c r="D139" s="5"/>
    </row>
    <row r="140" spans="4:4">
      <c r="D140" s="5"/>
    </row>
    <row r="141" spans="4:4">
      <c r="D141" s="5"/>
    </row>
    <row r="142" spans="4:4">
      <c r="D142" s="5"/>
    </row>
    <row r="143" spans="4:4">
      <c r="D143" s="5"/>
    </row>
    <row r="144" spans="4:4">
      <c r="D144" s="5"/>
    </row>
    <row r="145" spans="4:4">
      <c r="D145" s="5"/>
    </row>
    <row r="146" spans="4:4">
      <c r="D146" s="5"/>
    </row>
    <row r="147" spans="4:4">
      <c r="D147" s="5"/>
    </row>
    <row r="148" spans="4:4">
      <c r="D148" s="5"/>
    </row>
    <row r="149" spans="4:4">
      <c r="D149" s="5"/>
    </row>
    <row r="150" spans="4:4">
      <c r="D150" s="5"/>
    </row>
    <row r="151" spans="4:4">
      <c r="D151" s="5"/>
    </row>
    <row r="152" spans="4:4">
      <c r="D152" s="5"/>
    </row>
    <row r="153" spans="4:4">
      <c r="D153" s="5"/>
    </row>
    <row r="154" spans="4:4">
      <c r="D154" s="5"/>
    </row>
    <row r="155" spans="4:4">
      <c r="D155" s="5"/>
    </row>
    <row r="156" spans="4:4">
      <c r="D156" s="5"/>
    </row>
    <row r="157" spans="4:4">
      <c r="D157" s="5"/>
    </row>
    <row r="158" spans="4:4">
      <c r="D158" s="5"/>
    </row>
    <row r="159" spans="4:4">
      <c r="D159" s="5"/>
    </row>
    <row r="160" spans="4:4">
      <c r="D160" s="5"/>
    </row>
    <row r="161" spans="4:4">
      <c r="D161" s="5"/>
    </row>
    <row r="162" spans="4:4">
      <c r="D162" s="5"/>
    </row>
    <row r="163" spans="4:4">
      <c r="D163" s="5"/>
    </row>
    <row r="164" spans="4:4">
      <c r="D164" s="5"/>
    </row>
    <row r="165" spans="4:4">
      <c r="D165" s="5"/>
    </row>
    <row r="166" spans="4:4">
      <c r="D166" s="5"/>
    </row>
    <row r="167" spans="4:4">
      <c r="D167" s="5"/>
    </row>
    <row r="168" spans="4:4">
      <c r="D168" s="5"/>
    </row>
    <row r="169" spans="4:4">
      <c r="D169" s="5"/>
    </row>
    <row r="170" spans="4:4">
      <c r="D170" s="5"/>
    </row>
    <row r="171" spans="4:4">
      <c r="D171" s="5"/>
    </row>
    <row r="172" spans="4:4">
      <c r="D172" s="5"/>
    </row>
    <row r="173" spans="4:4">
      <c r="D173" s="5"/>
    </row>
    <row r="174" spans="4:4">
      <c r="D174" s="5"/>
    </row>
    <row r="175" spans="4:4">
      <c r="D175" s="5"/>
    </row>
    <row r="176" spans="4:4">
      <c r="D176" s="5"/>
    </row>
    <row r="177" spans="4:4">
      <c r="D177" s="5"/>
    </row>
    <row r="178" spans="4:4">
      <c r="D178" s="5"/>
    </row>
    <row r="179" spans="4:4">
      <c r="D179" s="5"/>
    </row>
    <row r="180" spans="4:4">
      <c r="D180" s="5"/>
    </row>
    <row r="181" spans="4:4">
      <c r="D181" s="5"/>
    </row>
    <row r="182" spans="4:4">
      <c r="D182" s="5"/>
    </row>
    <row r="183" spans="4:4">
      <c r="D183" s="5"/>
    </row>
    <row r="184" spans="4:4">
      <c r="D184" s="5"/>
    </row>
    <row r="185" spans="4:4">
      <c r="D185" s="5"/>
    </row>
    <row r="186" spans="4:4">
      <c r="D186" s="5"/>
    </row>
    <row r="187" spans="4:4">
      <c r="D187" s="5"/>
    </row>
    <row r="188" spans="4:4">
      <c r="D188" s="5"/>
    </row>
    <row r="189" spans="4:4">
      <c r="D189" s="5"/>
    </row>
    <row r="190" spans="4:4">
      <c r="D190" s="5"/>
    </row>
    <row r="191" spans="4:4">
      <c r="D191" s="5"/>
    </row>
    <row r="192" spans="4:4">
      <c r="D192" s="5"/>
    </row>
    <row r="193" spans="4:4">
      <c r="D193" s="5"/>
    </row>
    <row r="194" spans="4:4">
      <c r="D194" s="5"/>
    </row>
    <row r="195" spans="4:4">
      <c r="D195" s="5"/>
    </row>
    <row r="196" spans="4:4">
      <c r="D196" s="5"/>
    </row>
    <row r="197" spans="4:4">
      <c r="D197" s="5"/>
    </row>
    <row r="198" spans="4:4">
      <c r="D198" s="5"/>
    </row>
    <row r="199" spans="4:4">
      <c r="D199" s="5"/>
    </row>
    <row r="200" spans="4:4">
      <c r="D200" s="5"/>
    </row>
    <row r="201" spans="4:4">
      <c r="D201" s="5"/>
    </row>
    <row r="202" spans="4:4">
      <c r="D202" s="5"/>
    </row>
    <row r="203" spans="4:4">
      <c r="D203" s="5"/>
    </row>
    <row r="204" spans="4:4">
      <c r="D204" s="5"/>
    </row>
    <row r="205" spans="4:4">
      <c r="D205" s="5"/>
    </row>
    <row r="206" spans="4:4">
      <c r="D206" s="5"/>
    </row>
    <row r="207" spans="4:4">
      <c r="D207" s="5"/>
    </row>
    <row r="208" spans="4:4">
      <c r="D208" s="5"/>
    </row>
    <row r="209" spans="4:4">
      <c r="D209" s="5"/>
    </row>
    <row r="210" spans="4:4">
      <c r="D210" s="5"/>
    </row>
    <row r="211" spans="4:4">
      <c r="D211" s="5"/>
    </row>
    <row r="212" spans="4:4">
      <c r="D212" s="5"/>
    </row>
    <row r="213" spans="4:4">
      <c r="D213" s="5"/>
    </row>
    <row r="214" spans="4:4">
      <c r="D214" s="5"/>
    </row>
    <row r="215" spans="4:4">
      <c r="D215" s="5"/>
    </row>
    <row r="216" spans="4:4">
      <c r="D216" s="5"/>
    </row>
    <row r="217" spans="4:4">
      <c r="D217" s="5"/>
    </row>
    <row r="218" spans="4:4">
      <c r="D218" s="5"/>
    </row>
    <row r="219" spans="4:4">
      <c r="D219" s="5"/>
    </row>
    <row r="220" spans="4:4">
      <c r="D220" s="5"/>
    </row>
    <row r="221" spans="4:4">
      <c r="D221" s="5"/>
    </row>
    <row r="222" spans="4:4">
      <c r="D222" s="5"/>
    </row>
    <row r="223" spans="4:4">
      <c r="D223" s="5"/>
    </row>
    <row r="224" spans="4:4">
      <c r="D224" s="5"/>
    </row>
    <row r="225" spans="4:4">
      <c r="D225" s="5"/>
    </row>
    <row r="226" spans="4:4">
      <c r="D226" s="5"/>
    </row>
    <row r="227" spans="4:4">
      <c r="D227" s="5"/>
    </row>
    <row r="228" spans="4:4">
      <c r="D228" s="5"/>
    </row>
    <row r="229" spans="4:4">
      <c r="D229" s="5"/>
    </row>
    <row r="230" spans="4:4">
      <c r="D230" s="5"/>
    </row>
    <row r="231" spans="4:4">
      <c r="D231" s="5"/>
    </row>
    <row r="232" spans="4:4">
      <c r="D232" s="5"/>
    </row>
    <row r="233" spans="4:4">
      <c r="D233" s="5"/>
    </row>
    <row r="234" spans="4:4">
      <c r="D234" s="5"/>
    </row>
    <row r="235" spans="4:4">
      <c r="D235" s="5"/>
    </row>
    <row r="236" spans="4:4">
      <c r="D236" s="5"/>
    </row>
    <row r="237" spans="4:4">
      <c r="D237" s="5"/>
    </row>
    <row r="238" spans="4:4">
      <c r="D238" s="5"/>
    </row>
    <row r="239" spans="4:4">
      <c r="D239" s="5"/>
    </row>
    <row r="240" spans="4:4">
      <c r="D240" s="5"/>
    </row>
    <row r="241" spans="4:4">
      <c r="D241" s="5"/>
    </row>
    <row r="242" spans="4:4">
      <c r="D242" s="5"/>
    </row>
    <row r="243" spans="4:4">
      <c r="D243" s="5"/>
    </row>
    <row r="244" spans="4:4">
      <c r="D244" s="5"/>
    </row>
    <row r="245" spans="4:4">
      <c r="D245" s="5"/>
    </row>
    <row r="246" spans="4:4">
      <c r="D246" s="5"/>
    </row>
    <row r="247" spans="4:4">
      <c r="D247" s="5"/>
    </row>
    <row r="248" spans="4:4">
      <c r="D248" s="5"/>
    </row>
    <row r="249" spans="4:4">
      <c r="D249" s="5"/>
    </row>
    <row r="250" spans="4:4">
      <c r="D250" s="5"/>
    </row>
    <row r="251" spans="4:4">
      <c r="D251" s="5"/>
    </row>
    <row r="252" spans="4:4">
      <c r="D252" s="5"/>
    </row>
    <row r="253" spans="4:4">
      <c r="D253" s="5"/>
    </row>
    <row r="254" spans="4:4">
      <c r="D254" s="5"/>
    </row>
    <row r="255" spans="4:4">
      <c r="D255" s="5"/>
    </row>
    <row r="256" spans="4:4">
      <c r="D256" s="5"/>
    </row>
    <row r="257" spans="4:4">
      <c r="D257" s="5"/>
    </row>
    <row r="258" spans="4:4">
      <c r="D258" s="5"/>
    </row>
    <row r="259" spans="4:4">
      <c r="D259" s="5"/>
    </row>
    <row r="260" spans="4:4">
      <c r="D260" s="5"/>
    </row>
    <row r="261" spans="4:4">
      <c r="D261" s="5"/>
    </row>
    <row r="262" spans="4:4">
      <c r="D262" s="5"/>
    </row>
    <row r="263" spans="4:4">
      <c r="D263" s="5"/>
    </row>
    <row r="264" spans="4:4">
      <c r="D264" s="5"/>
    </row>
    <row r="265" spans="4:4">
      <c r="D265" s="5"/>
    </row>
    <row r="266" spans="4:4">
      <c r="D266" s="5"/>
    </row>
    <row r="267" spans="4:4">
      <c r="D267" s="5"/>
    </row>
    <row r="268" spans="4:4">
      <c r="D268" s="5"/>
    </row>
    <row r="269" spans="4:4">
      <c r="D269" s="5"/>
    </row>
    <row r="270" spans="4:4">
      <c r="D270" s="5"/>
    </row>
    <row r="271" spans="4:4">
      <c r="D271" s="5"/>
    </row>
    <row r="272" spans="4:4">
      <c r="D272" s="5"/>
    </row>
    <row r="273" spans="4:4">
      <c r="D273" s="5"/>
    </row>
    <row r="274" spans="4:4">
      <c r="D274" s="5"/>
    </row>
    <row r="275" spans="4:4">
      <c r="D275" s="5"/>
    </row>
    <row r="276" spans="4:4">
      <c r="D276" s="5"/>
    </row>
    <row r="277" spans="4:4">
      <c r="D277" s="5"/>
    </row>
    <row r="278" spans="4:4">
      <c r="D278" s="5"/>
    </row>
    <row r="279" spans="4:4">
      <c r="D279" s="5"/>
    </row>
    <row r="280" spans="4:4">
      <c r="D280" s="5"/>
    </row>
    <row r="281" spans="4:4">
      <c r="D281" s="5"/>
    </row>
    <row r="282" spans="4:4">
      <c r="D282" s="5"/>
    </row>
    <row r="283" spans="4:4">
      <c r="D283" s="5"/>
    </row>
    <row r="284" spans="4:4">
      <c r="D284" s="5"/>
    </row>
    <row r="285" spans="4:4">
      <c r="D285" s="5"/>
    </row>
    <row r="286" spans="4:4">
      <c r="D286" s="5"/>
    </row>
    <row r="287" spans="4:4">
      <c r="D287" s="5"/>
    </row>
    <row r="288" spans="4:4">
      <c r="D288" s="5"/>
    </row>
    <row r="289" spans="4:4">
      <c r="D289" s="5"/>
    </row>
    <row r="290" spans="4:4">
      <c r="D290" s="5"/>
    </row>
    <row r="291" spans="4:4">
      <c r="D291" s="5"/>
    </row>
    <row r="292" spans="4:4">
      <c r="D292" s="5"/>
    </row>
    <row r="293" spans="4:4">
      <c r="D293" s="5"/>
    </row>
    <row r="294" spans="4:4">
      <c r="D294" s="5"/>
    </row>
    <row r="295" spans="4:4">
      <c r="D295" s="5"/>
    </row>
    <row r="296" spans="4:4">
      <c r="D296" s="5"/>
    </row>
    <row r="297" spans="4:4">
      <c r="D297" s="5"/>
    </row>
    <row r="298" spans="4:4">
      <c r="D298" s="5"/>
    </row>
    <row r="299" spans="4:4">
      <c r="D299" s="5"/>
    </row>
    <row r="300" spans="4:4">
      <c r="D300" s="5"/>
    </row>
    <row r="301" spans="4:4">
      <c r="D301" s="5"/>
    </row>
    <row r="302" spans="4:4">
      <c r="D302" s="5"/>
    </row>
    <row r="303" spans="4:4">
      <c r="D303" s="5"/>
    </row>
    <row r="304" spans="4:4">
      <c r="D304" s="5"/>
    </row>
    <row r="305" spans="4:4">
      <c r="D305" s="5"/>
    </row>
    <row r="306" spans="4:4">
      <c r="D306" s="5"/>
    </row>
    <row r="307" spans="4:4">
      <c r="D307" s="5"/>
    </row>
    <row r="308" spans="4:4">
      <c r="D308" s="5"/>
    </row>
    <row r="309" spans="4:4">
      <c r="D309" s="5"/>
    </row>
    <row r="310" spans="4:4">
      <c r="D310" s="5"/>
    </row>
    <row r="311" spans="4:4">
      <c r="D311" s="5"/>
    </row>
    <row r="312" spans="4:4">
      <c r="D312" s="5"/>
    </row>
    <row r="313" spans="4:4">
      <c r="D313" s="5"/>
    </row>
    <row r="314" spans="4:4">
      <c r="D314" s="5"/>
    </row>
    <row r="315" spans="4:4">
      <c r="D315" s="5"/>
    </row>
    <row r="316" spans="4:4">
      <c r="D316" s="5"/>
    </row>
    <row r="317" spans="4:4">
      <c r="D317" s="5"/>
    </row>
    <row r="318" spans="4:4">
      <c r="D318" s="5"/>
    </row>
    <row r="319" spans="4:4">
      <c r="D319" s="5"/>
    </row>
    <row r="320" spans="4:4">
      <c r="D320" s="5"/>
    </row>
    <row r="321" spans="4:4">
      <c r="D321" s="5"/>
    </row>
    <row r="322" spans="4:4">
      <c r="D322" s="5"/>
    </row>
    <row r="323" spans="4:4">
      <c r="D323" s="5"/>
    </row>
    <row r="324" spans="4:4">
      <c r="D324" s="5"/>
    </row>
    <row r="325" spans="4:4">
      <c r="D325" s="5"/>
    </row>
    <row r="326" spans="4:4">
      <c r="D326" s="5"/>
    </row>
    <row r="327" spans="4:4">
      <c r="D327" s="5"/>
    </row>
    <row r="328" spans="4:4">
      <c r="D328" s="5"/>
    </row>
    <row r="329" spans="4:4">
      <c r="D329" s="5"/>
    </row>
    <row r="330" spans="4:4">
      <c r="D330" s="5"/>
    </row>
    <row r="331" spans="4:4">
      <c r="D331" s="5"/>
    </row>
    <row r="332" spans="4:4">
      <c r="D332" s="5"/>
    </row>
    <row r="333" spans="4:4">
      <c r="D333" s="5"/>
    </row>
    <row r="334" spans="4:4">
      <c r="D334" s="5"/>
    </row>
    <row r="335" spans="4:4">
      <c r="D335" s="5"/>
    </row>
    <row r="336" spans="4:4">
      <c r="D336" s="5"/>
    </row>
    <row r="337" spans="4:4">
      <c r="D337" s="5"/>
    </row>
    <row r="338" spans="4:4">
      <c r="D338" s="5"/>
    </row>
    <row r="339" spans="4:4">
      <c r="D339" s="5"/>
    </row>
    <row r="340" spans="4:4">
      <c r="D340" s="5"/>
    </row>
    <row r="341" spans="4:4">
      <c r="D341" s="5"/>
    </row>
    <row r="342" spans="4:4">
      <c r="D342" s="5"/>
    </row>
    <row r="343" spans="4:4">
      <c r="D343" s="5"/>
    </row>
    <row r="344" spans="4:4">
      <c r="D344" s="5"/>
    </row>
    <row r="345" spans="4:4">
      <c r="D345" s="5"/>
    </row>
    <row r="346" spans="4:4">
      <c r="D346" s="5"/>
    </row>
    <row r="347" spans="4:4">
      <c r="D347" s="5"/>
    </row>
    <row r="348" spans="4:4">
      <c r="D348" s="5"/>
    </row>
    <row r="349" spans="4:4">
      <c r="D349" s="5"/>
    </row>
    <row r="350" spans="4:4">
      <c r="D350" s="5"/>
    </row>
    <row r="351" spans="4:4">
      <c r="D351" s="5"/>
    </row>
    <row r="352" spans="4:4">
      <c r="D352" s="5"/>
    </row>
    <row r="353" spans="4:4">
      <c r="D353" s="5"/>
    </row>
    <row r="354" spans="4:4">
      <c r="D354" s="5"/>
    </row>
    <row r="355" spans="4:4">
      <c r="D355" s="5"/>
    </row>
    <row r="356" spans="4:4">
      <c r="D356" s="5"/>
    </row>
    <row r="357" spans="4:4">
      <c r="D357" s="5"/>
    </row>
    <row r="358" spans="4:4">
      <c r="D358" s="5"/>
    </row>
    <row r="359" spans="4:4">
      <c r="D359" s="5"/>
    </row>
    <row r="360" spans="4:4">
      <c r="D360" s="5"/>
    </row>
    <row r="361" spans="4:4">
      <c r="D361" s="5"/>
    </row>
    <row r="362" spans="4:4">
      <c r="D362" s="5"/>
    </row>
    <row r="363" spans="4:4">
      <c r="D363" s="5"/>
    </row>
    <row r="364" spans="4:4">
      <c r="D364" s="5"/>
    </row>
    <row r="365" spans="4:4">
      <c r="D365" s="5"/>
    </row>
    <row r="366" spans="4:4">
      <c r="D366" s="5"/>
    </row>
    <row r="367" spans="4:4">
      <c r="D367" s="5"/>
    </row>
    <row r="368" spans="4:4">
      <c r="D368" s="5"/>
    </row>
    <row r="369" spans="4:4">
      <c r="D369" s="5"/>
    </row>
    <row r="370" spans="4:4">
      <c r="D370" s="5"/>
    </row>
    <row r="371" spans="4:4">
      <c r="D371" s="5"/>
    </row>
    <row r="372" spans="4:4">
      <c r="D372" s="5"/>
    </row>
    <row r="373" spans="4:4">
      <c r="D373" s="5"/>
    </row>
    <row r="374" spans="4:4">
      <c r="D374" s="5"/>
    </row>
    <row r="375" spans="4:4">
      <c r="D375" s="5"/>
    </row>
    <row r="376" spans="4:4">
      <c r="D376" s="5"/>
    </row>
    <row r="377" spans="4:4">
      <c r="D377" s="5"/>
    </row>
    <row r="378" spans="4:4">
      <c r="D378" s="5"/>
    </row>
    <row r="379" spans="4:4">
      <c r="D379" s="5"/>
    </row>
    <row r="380" spans="4:4">
      <c r="D380" s="5"/>
    </row>
    <row r="381" spans="4:4">
      <c r="D381" s="5"/>
    </row>
    <row r="382" spans="4:4">
      <c r="D382" s="5"/>
    </row>
    <row r="383" spans="4:4">
      <c r="D383" s="5"/>
    </row>
    <row r="384" spans="4:4">
      <c r="D384" s="5"/>
    </row>
    <row r="385" spans="4:4">
      <c r="D385" s="5"/>
    </row>
    <row r="386" spans="4:4">
      <c r="D386" s="5"/>
    </row>
  </sheetData>
  <mergeCells count="4">
    <mergeCell ref="A5:E5"/>
    <mergeCell ref="A6:E6"/>
    <mergeCell ref="A7:E7"/>
    <mergeCell ref="A4:E4"/>
  </mergeCells>
  <phoneticPr fontId="5" type="noConversion"/>
  <pageMargins left="0.75" right="0.75" top="1" bottom="1" header="0.5" footer="0.5"/>
  <pageSetup scale="74"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10"/>
    <pageSetUpPr fitToPage="1"/>
  </sheetPr>
  <dimension ref="A1:G386"/>
  <sheetViews>
    <sheetView workbookViewId="0">
      <selection activeCell="A4" sqref="A4:F4"/>
    </sheetView>
  </sheetViews>
  <sheetFormatPr defaultRowHeight="12.75"/>
  <cols>
    <col min="1" max="1" width="4.42578125" bestFit="1" customWidth="1"/>
    <col min="2" max="2" width="37.7109375" customWidth="1"/>
    <col min="3" max="3" width="17.42578125" style="16" bestFit="1" customWidth="1"/>
    <col min="4" max="4" width="17.5703125" bestFit="1" customWidth="1"/>
    <col min="5" max="5" width="16.5703125" bestFit="1" customWidth="1"/>
  </cols>
  <sheetData>
    <row r="1" spans="1:7">
      <c r="E1" t="str">
        <f>A!D1</f>
        <v>Docket No. RP16-299-000</v>
      </c>
    </row>
    <row r="2" spans="1:7">
      <c r="E2" t="s">
        <v>128</v>
      </c>
    </row>
    <row r="4" spans="1:7">
      <c r="A4" s="927" t="str">
        <f>E!A4</f>
        <v>Tuscarora Gas Transmission Company</v>
      </c>
      <c r="B4" s="927"/>
      <c r="C4" s="927"/>
      <c r="D4" s="927"/>
      <c r="E4" s="927"/>
      <c r="F4" s="927"/>
    </row>
    <row r="5" spans="1:7">
      <c r="A5" s="927" t="s">
        <v>129</v>
      </c>
      <c r="B5" s="927"/>
      <c r="C5" s="927"/>
      <c r="D5" s="927"/>
      <c r="E5" s="927"/>
      <c r="F5" s="927"/>
    </row>
    <row r="6" spans="1:7">
      <c r="A6" s="927"/>
      <c r="B6" s="927"/>
      <c r="C6" s="927"/>
      <c r="D6" s="927"/>
      <c r="E6" s="927"/>
      <c r="F6" s="927"/>
    </row>
    <row r="7" spans="1:7">
      <c r="A7" s="927"/>
      <c r="B7" s="927"/>
      <c r="C7" s="927"/>
      <c r="D7" s="927"/>
      <c r="E7" s="927"/>
      <c r="F7" s="927"/>
    </row>
    <row r="8" spans="1:7">
      <c r="F8" s="2"/>
    </row>
    <row r="9" spans="1:7">
      <c r="C9"/>
    </row>
    <row r="10" spans="1:7">
      <c r="B10" s="32"/>
      <c r="C10"/>
    </row>
    <row r="11" spans="1:7">
      <c r="B11" s="28"/>
      <c r="C11"/>
    </row>
    <row r="12" spans="1:7">
      <c r="B12" s="4" t="s">
        <v>665</v>
      </c>
      <c r="C12" s="4"/>
      <c r="D12" s="4"/>
      <c r="E12" s="4"/>
      <c r="F12" s="4"/>
      <c r="G12" s="4"/>
    </row>
    <row r="13" spans="1:7">
      <c r="B13" s="28"/>
      <c r="C13"/>
    </row>
    <row r="14" spans="1:7">
      <c r="B14" s="30"/>
      <c r="C14"/>
    </row>
    <row r="15" spans="1:7">
      <c r="B15" s="30"/>
      <c r="C15"/>
    </row>
    <row r="16" spans="1:7">
      <c r="B16" s="30"/>
      <c r="C16"/>
    </row>
    <row r="17" spans="2:4">
      <c r="B17" s="30"/>
      <c r="C17"/>
    </row>
    <row r="18" spans="2:4">
      <c r="B18" s="30"/>
      <c r="C18"/>
    </row>
    <row r="19" spans="2:4">
      <c r="B19" s="28"/>
      <c r="D19" s="5"/>
    </row>
    <row r="20" spans="2:4">
      <c r="B20" s="30"/>
      <c r="D20" s="5"/>
    </row>
    <row r="21" spans="2:4">
      <c r="B21" s="30"/>
      <c r="D21" s="5"/>
    </row>
    <row r="22" spans="2:4">
      <c r="B22" s="30"/>
      <c r="D22" s="5"/>
    </row>
    <row r="23" spans="2:4">
      <c r="B23" s="30"/>
      <c r="D23" s="5"/>
    </row>
    <row r="24" spans="2:4">
      <c r="B24" s="28"/>
      <c r="D24" s="5"/>
    </row>
    <row r="25" spans="2:4">
      <c r="B25" s="30"/>
      <c r="D25" s="5"/>
    </row>
    <row r="26" spans="2:4">
      <c r="B26" s="28"/>
      <c r="D26" s="5"/>
    </row>
    <row r="27" spans="2:4">
      <c r="B27" s="28"/>
      <c r="D27" s="5"/>
    </row>
    <row r="28" spans="2:4">
      <c r="B28" s="28"/>
      <c r="D28" s="5"/>
    </row>
    <row r="29" spans="2:4">
      <c r="B29" s="30"/>
      <c r="D29" s="5"/>
    </row>
    <row r="30" spans="2:4">
      <c r="B30" s="30"/>
      <c r="D30" s="5"/>
    </row>
    <row r="31" spans="2:4">
      <c r="B31" s="30"/>
      <c r="D31" s="5"/>
    </row>
    <row r="32" spans="2:4">
      <c r="B32" s="30"/>
      <c r="D32" s="5"/>
    </row>
    <row r="33" spans="2:4">
      <c r="B33" s="31"/>
      <c r="D33" s="5"/>
    </row>
    <row r="34" spans="2:4" ht="15.75">
      <c r="B34" s="25"/>
      <c r="D34" s="5"/>
    </row>
    <row r="35" spans="2:4">
      <c r="D35" s="5"/>
    </row>
    <row r="36" spans="2:4">
      <c r="D36" s="5"/>
    </row>
    <row r="37" spans="2:4">
      <c r="D37" s="5"/>
    </row>
    <row r="38" spans="2:4">
      <c r="D38" s="5"/>
    </row>
    <row r="39" spans="2:4">
      <c r="D39" s="5"/>
    </row>
    <row r="40" spans="2:4">
      <c r="D40" s="5"/>
    </row>
    <row r="41" spans="2:4">
      <c r="D41" s="5"/>
    </row>
    <row r="42" spans="2:4">
      <c r="D42" s="5"/>
    </row>
    <row r="43" spans="2:4">
      <c r="D43" s="5"/>
    </row>
    <row r="44" spans="2:4">
      <c r="D44" s="5"/>
    </row>
    <row r="45" spans="2:4">
      <c r="D45" s="5"/>
    </row>
    <row r="46" spans="2:4">
      <c r="D46" s="5"/>
    </row>
    <row r="47" spans="2:4">
      <c r="D47" s="5"/>
    </row>
    <row r="48" spans="2:4">
      <c r="D48" s="5"/>
    </row>
    <row r="49" spans="4:4">
      <c r="D49" s="5"/>
    </row>
    <row r="50" spans="4:4">
      <c r="D50" s="5"/>
    </row>
    <row r="51" spans="4:4">
      <c r="D51" s="5"/>
    </row>
    <row r="52" spans="4:4">
      <c r="D52" s="5"/>
    </row>
    <row r="53" spans="4:4">
      <c r="D53" s="5"/>
    </row>
    <row r="54" spans="4:4">
      <c r="D54" s="5"/>
    </row>
    <row r="55" spans="4:4">
      <c r="D55" s="5"/>
    </row>
    <row r="56" spans="4:4">
      <c r="D56" s="5"/>
    </row>
    <row r="57" spans="4:4">
      <c r="D57" s="5"/>
    </row>
    <row r="58" spans="4:4">
      <c r="D58" s="5"/>
    </row>
    <row r="59" spans="4:4">
      <c r="D59" s="5"/>
    </row>
    <row r="60" spans="4:4">
      <c r="D60" s="5"/>
    </row>
    <row r="61" spans="4:4">
      <c r="D61" s="5"/>
    </row>
    <row r="62" spans="4:4">
      <c r="D62" s="5"/>
    </row>
    <row r="63" spans="4:4">
      <c r="D63" s="5"/>
    </row>
    <row r="64" spans="4:4">
      <c r="D64" s="5"/>
    </row>
    <row r="65" spans="4:4">
      <c r="D65" s="5"/>
    </row>
    <row r="66" spans="4:4">
      <c r="D66" s="5"/>
    </row>
    <row r="67" spans="4:4">
      <c r="D67" s="5"/>
    </row>
    <row r="68" spans="4:4">
      <c r="D68" s="5"/>
    </row>
    <row r="69" spans="4:4">
      <c r="D69" s="5"/>
    </row>
    <row r="70" spans="4:4">
      <c r="D70" s="5"/>
    </row>
    <row r="71" spans="4:4">
      <c r="D71" s="5"/>
    </row>
    <row r="72" spans="4:4">
      <c r="D72" s="5"/>
    </row>
    <row r="73" spans="4:4">
      <c r="D73" s="5"/>
    </row>
    <row r="74" spans="4:4">
      <c r="D74" s="5"/>
    </row>
    <row r="75" spans="4:4">
      <c r="D75" s="5"/>
    </row>
    <row r="76" spans="4:4">
      <c r="D76" s="5"/>
    </row>
    <row r="77" spans="4:4">
      <c r="D77" s="5"/>
    </row>
    <row r="78" spans="4:4">
      <c r="D78" s="5"/>
    </row>
    <row r="79" spans="4:4">
      <c r="D79" s="5"/>
    </row>
    <row r="80" spans="4:4">
      <c r="D80" s="5"/>
    </row>
    <row r="81" spans="4:4">
      <c r="D81" s="5"/>
    </row>
    <row r="82" spans="4:4">
      <c r="D82" s="5"/>
    </row>
    <row r="83" spans="4:4">
      <c r="D83" s="5"/>
    </row>
    <row r="84" spans="4:4">
      <c r="D84" s="5"/>
    </row>
    <row r="85" spans="4:4">
      <c r="D85" s="5"/>
    </row>
    <row r="86" spans="4:4">
      <c r="D86" s="5"/>
    </row>
    <row r="87" spans="4:4">
      <c r="D87" s="5"/>
    </row>
    <row r="88" spans="4:4">
      <c r="D88" s="5"/>
    </row>
    <row r="89" spans="4:4">
      <c r="D89" s="5"/>
    </row>
    <row r="90" spans="4:4">
      <c r="D90" s="5"/>
    </row>
    <row r="91" spans="4:4">
      <c r="D91" s="5"/>
    </row>
    <row r="92" spans="4:4">
      <c r="D92" s="5"/>
    </row>
    <row r="93" spans="4:4">
      <c r="D93" s="5"/>
    </row>
    <row r="94" spans="4:4">
      <c r="D94" s="5"/>
    </row>
    <row r="95" spans="4:4">
      <c r="D95" s="5"/>
    </row>
    <row r="96" spans="4:4">
      <c r="D96" s="5"/>
    </row>
    <row r="97" spans="4:4">
      <c r="D97" s="5"/>
    </row>
    <row r="98" spans="4:4">
      <c r="D98" s="5"/>
    </row>
    <row r="99" spans="4:4">
      <c r="D99" s="5"/>
    </row>
    <row r="100" spans="4:4">
      <c r="D100" s="5"/>
    </row>
    <row r="101" spans="4:4">
      <c r="D101" s="5"/>
    </row>
    <row r="102" spans="4:4">
      <c r="D102" s="5"/>
    </row>
    <row r="103" spans="4:4">
      <c r="D103" s="5"/>
    </row>
    <row r="104" spans="4:4">
      <c r="D104" s="5"/>
    </row>
    <row r="105" spans="4:4">
      <c r="D105" s="5"/>
    </row>
    <row r="106" spans="4:4">
      <c r="D106" s="5"/>
    </row>
    <row r="107" spans="4:4">
      <c r="D107" s="5"/>
    </row>
    <row r="108" spans="4:4">
      <c r="D108" s="5"/>
    </row>
    <row r="109" spans="4:4">
      <c r="D109" s="5"/>
    </row>
    <row r="110" spans="4:4">
      <c r="D110" s="5"/>
    </row>
    <row r="111" spans="4:4">
      <c r="D111" s="5"/>
    </row>
    <row r="112" spans="4:4">
      <c r="D112" s="5"/>
    </row>
    <row r="113" spans="4:4">
      <c r="D113" s="5"/>
    </row>
    <row r="114" spans="4:4">
      <c r="D114" s="5"/>
    </row>
    <row r="115" spans="4:4">
      <c r="D115" s="5"/>
    </row>
    <row r="116" spans="4:4">
      <c r="D116" s="5"/>
    </row>
    <row r="117" spans="4:4">
      <c r="D117" s="5"/>
    </row>
    <row r="118" spans="4:4">
      <c r="D118" s="5"/>
    </row>
    <row r="119" spans="4:4">
      <c r="D119" s="5"/>
    </row>
    <row r="120" spans="4:4">
      <c r="D120" s="5"/>
    </row>
    <row r="121" spans="4:4">
      <c r="D121" s="5"/>
    </row>
    <row r="122" spans="4:4">
      <c r="D122" s="5"/>
    </row>
    <row r="123" spans="4:4">
      <c r="D123" s="5"/>
    </row>
    <row r="124" spans="4:4">
      <c r="D124" s="5"/>
    </row>
    <row r="125" spans="4:4">
      <c r="D125" s="5"/>
    </row>
    <row r="126" spans="4:4">
      <c r="D126" s="5"/>
    </row>
    <row r="127" spans="4:4">
      <c r="D127" s="5"/>
    </row>
    <row r="128" spans="4:4">
      <c r="D128" s="5"/>
    </row>
    <row r="129" spans="4:4">
      <c r="D129" s="5"/>
    </row>
    <row r="130" spans="4:4">
      <c r="D130" s="5"/>
    </row>
    <row r="131" spans="4:4">
      <c r="D131" s="5"/>
    </row>
    <row r="132" spans="4:4">
      <c r="D132" s="5"/>
    </row>
    <row r="133" spans="4:4">
      <c r="D133" s="5"/>
    </row>
    <row r="134" spans="4:4">
      <c r="D134" s="5"/>
    </row>
    <row r="135" spans="4:4">
      <c r="D135" s="5"/>
    </row>
    <row r="136" spans="4:4">
      <c r="D136" s="5"/>
    </row>
    <row r="137" spans="4:4">
      <c r="D137" s="5"/>
    </row>
    <row r="138" spans="4:4">
      <c r="D138" s="5"/>
    </row>
    <row r="139" spans="4:4">
      <c r="D139" s="5"/>
    </row>
    <row r="140" spans="4:4">
      <c r="D140" s="5"/>
    </row>
    <row r="141" spans="4:4">
      <c r="D141" s="5"/>
    </row>
    <row r="142" spans="4:4">
      <c r="D142" s="5"/>
    </row>
    <row r="143" spans="4:4">
      <c r="D143" s="5"/>
    </row>
    <row r="144" spans="4:4">
      <c r="D144" s="5"/>
    </row>
    <row r="145" spans="4:4">
      <c r="D145" s="5"/>
    </row>
    <row r="146" spans="4:4">
      <c r="D146" s="5"/>
    </row>
    <row r="147" spans="4:4">
      <c r="D147" s="5"/>
    </row>
    <row r="148" spans="4:4">
      <c r="D148" s="5"/>
    </row>
    <row r="149" spans="4:4">
      <c r="D149" s="5"/>
    </row>
    <row r="150" spans="4:4">
      <c r="D150" s="5"/>
    </row>
    <row r="151" spans="4:4">
      <c r="D151" s="5"/>
    </row>
    <row r="152" spans="4:4">
      <c r="D152" s="5"/>
    </row>
    <row r="153" spans="4:4">
      <c r="D153" s="5"/>
    </row>
    <row r="154" spans="4:4">
      <c r="D154" s="5"/>
    </row>
    <row r="155" spans="4:4">
      <c r="D155" s="5"/>
    </row>
    <row r="156" spans="4:4">
      <c r="D156" s="5"/>
    </row>
    <row r="157" spans="4:4">
      <c r="D157" s="5"/>
    </row>
    <row r="158" spans="4:4">
      <c r="D158" s="5"/>
    </row>
    <row r="159" spans="4:4">
      <c r="D159" s="5"/>
    </row>
    <row r="160" spans="4:4">
      <c r="D160" s="5"/>
    </row>
    <row r="161" spans="4:4">
      <c r="D161" s="5"/>
    </row>
    <row r="162" spans="4:4">
      <c r="D162" s="5"/>
    </row>
    <row r="163" spans="4:4">
      <c r="D163" s="5"/>
    </row>
    <row r="164" spans="4:4">
      <c r="D164" s="5"/>
    </row>
    <row r="165" spans="4:4">
      <c r="D165" s="5"/>
    </row>
    <row r="166" spans="4:4">
      <c r="D166" s="5"/>
    </row>
    <row r="167" spans="4:4">
      <c r="D167" s="5"/>
    </row>
    <row r="168" spans="4:4">
      <c r="D168" s="5"/>
    </row>
    <row r="169" spans="4:4">
      <c r="D169" s="5"/>
    </row>
    <row r="170" spans="4:4">
      <c r="D170" s="5"/>
    </row>
    <row r="171" spans="4:4">
      <c r="D171" s="5"/>
    </row>
    <row r="172" spans="4:4">
      <c r="D172" s="5"/>
    </row>
    <row r="173" spans="4:4">
      <c r="D173" s="5"/>
    </row>
    <row r="174" spans="4:4">
      <c r="D174" s="5"/>
    </row>
    <row r="175" spans="4:4">
      <c r="D175" s="5"/>
    </row>
    <row r="176" spans="4:4">
      <c r="D176" s="5"/>
    </row>
    <row r="177" spans="4:4">
      <c r="D177" s="5"/>
    </row>
    <row r="178" spans="4:4">
      <c r="D178" s="5"/>
    </row>
    <row r="179" spans="4:4">
      <c r="D179" s="5"/>
    </row>
    <row r="180" spans="4:4">
      <c r="D180" s="5"/>
    </row>
    <row r="181" spans="4:4">
      <c r="D181" s="5"/>
    </row>
    <row r="182" spans="4:4">
      <c r="D182" s="5"/>
    </row>
    <row r="183" spans="4:4">
      <c r="D183" s="5"/>
    </row>
    <row r="184" spans="4:4">
      <c r="D184" s="5"/>
    </row>
    <row r="185" spans="4:4">
      <c r="D185" s="5"/>
    </row>
    <row r="186" spans="4:4">
      <c r="D186" s="5"/>
    </row>
    <row r="187" spans="4:4">
      <c r="D187" s="5"/>
    </row>
    <row r="188" spans="4:4">
      <c r="D188" s="5"/>
    </row>
    <row r="189" spans="4:4">
      <c r="D189" s="5"/>
    </row>
    <row r="190" spans="4:4">
      <c r="D190" s="5"/>
    </row>
    <row r="191" spans="4:4">
      <c r="D191" s="5"/>
    </row>
    <row r="192" spans="4:4">
      <c r="D192" s="5"/>
    </row>
    <row r="193" spans="4:4">
      <c r="D193" s="5"/>
    </row>
    <row r="194" spans="4:4">
      <c r="D194" s="5"/>
    </row>
    <row r="195" spans="4:4">
      <c r="D195" s="5"/>
    </row>
    <row r="196" spans="4:4">
      <c r="D196" s="5"/>
    </row>
    <row r="197" spans="4:4">
      <c r="D197" s="5"/>
    </row>
    <row r="198" spans="4:4">
      <c r="D198" s="5"/>
    </row>
    <row r="199" spans="4:4">
      <c r="D199" s="5"/>
    </row>
    <row r="200" spans="4:4">
      <c r="D200" s="5"/>
    </row>
    <row r="201" spans="4:4">
      <c r="D201" s="5"/>
    </row>
    <row r="202" spans="4:4">
      <c r="D202" s="5"/>
    </row>
    <row r="203" spans="4:4">
      <c r="D203" s="5"/>
    </row>
    <row r="204" spans="4:4">
      <c r="D204" s="5"/>
    </row>
    <row r="205" spans="4:4">
      <c r="D205" s="5"/>
    </row>
    <row r="206" spans="4:4">
      <c r="D206" s="5"/>
    </row>
    <row r="207" spans="4:4">
      <c r="D207" s="5"/>
    </row>
    <row r="208" spans="4:4">
      <c r="D208" s="5"/>
    </row>
    <row r="209" spans="4:4">
      <c r="D209" s="5"/>
    </row>
    <row r="210" spans="4:4">
      <c r="D210" s="5"/>
    </row>
    <row r="211" spans="4:4">
      <c r="D211" s="5"/>
    </row>
    <row r="212" spans="4:4">
      <c r="D212" s="5"/>
    </row>
    <row r="213" spans="4:4">
      <c r="D213" s="5"/>
    </row>
    <row r="214" spans="4:4">
      <c r="D214" s="5"/>
    </row>
    <row r="215" spans="4:4">
      <c r="D215" s="5"/>
    </row>
    <row r="216" spans="4:4">
      <c r="D216" s="5"/>
    </row>
    <row r="217" spans="4:4">
      <c r="D217" s="5"/>
    </row>
    <row r="218" spans="4:4">
      <c r="D218" s="5"/>
    </row>
    <row r="219" spans="4:4">
      <c r="D219" s="5"/>
    </row>
    <row r="220" spans="4:4">
      <c r="D220" s="5"/>
    </row>
    <row r="221" spans="4:4">
      <c r="D221" s="5"/>
    </row>
    <row r="222" spans="4:4">
      <c r="D222" s="5"/>
    </row>
    <row r="223" spans="4:4">
      <c r="D223" s="5"/>
    </row>
    <row r="224" spans="4:4">
      <c r="D224" s="5"/>
    </row>
    <row r="225" spans="4:4">
      <c r="D225" s="5"/>
    </row>
    <row r="226" spans="4:4">
      <c r="D226" s="5"/>
    </row>
    <row r="227" spans="4:4">
      <c r="D227" s="5"/>
    </row>
    <row r="228" spans="4:4">
      <c r="D228" s="5"/>
    </row>
    <row r="229" spans="4:4">
      <c r="D229" s="5"/>
    </row>
    <row r="230" spans="4:4">
      <c r="D230" s="5"/>
    </row>
    <row r="231" spans="4:4">
      <c r="D231" s="5"/>
    </row>
    <row r="232" spans="4:4">
      <c r="D232" s="5"/>
    </row>
    <row r="233" spans="4:4">
      <c r="D233" s="5"/>
    </row>
    <row r="234" spans="4:4">
      <c r="D234" s="5"/>
    </row>
    <row r="235" spans="4:4">
      <c r="D235" s="5"/>
    </row>
    <row r="236" spans="4:4">
      <c r="D236" s="5"/>
    </row>
    <row r="237" spans="4:4">
      <c r="D237" s="5"/>
    </row>
    <row r="238" spans="4:4">
      <c r="D238" s="5"/>
    </row>
    <row r="239" spans="4:4">
      <c r="D239" s="5"/>
    </row>
    <row r="240" spans="4:4">
      <c r="D240" s="5"/>
    </row>
    <row r="241" spans="4:4">
      <c r="D241" s="5"/>
    </row>
    <row r="242" spans="4:4">
      <c r="D242" s="5"/>
    </row>
    <row r="243" spans="4:4">
      <c r="D243" s="5"/>
    </row>
    <row r="244" spans="4:4">
      <c r="D244" s="5"/>
    </row>
    <row r="245" spans="4:4">
      <c r="D245" s="5"/>
    </row>
    <row r="246" spans="4:4">
      <c r="D246" s="5"/>
    </row>
    <row r="247" spans="4:4">
      <c r="D247" s="5"/>
    </row>
    <row r="248" spans="4:4">
      <c r="D248" s="5"/>
    </row>
    <row r="249" spans="4:4">
      <c r="D249" s="5"/>
    </row>
    <row r="250" spans="4:4">
      <c r="D250" s="5"/>
    </row>
    <row r="251" spans="4:4">
      <c r="D251" s="5"/>
    </row>
    <row r="252" spans="4:4">
      <c r="D252" s="5"/>
    </row>
    <row r="253" spans="4:4">
      <c r="D253" s="5"/>
    </row>
    <row r="254" spans="4:4">
      <c r="D254" s="5"/>
    </row>
    <row r="255" spans="4:4">
      <c r="D255" s="5"/>
    </row>
    <row r="256" spans="4:4">
      <c r="D256" s="5"/>
    </row>
    <row r="257" spans="4:4">
      <c r="D257" s="5"/>
    </row>
    <row r="258" spans="4:4">
      <c r="D258" s="5"/>
    </row>
    <row r="259" spans="4:4">
      <c r="D259" s="5"/>
    </row>
    <row r="260" spans="4:4">
      <c r="D260" s="5"/>
    </row>
    <row r="261" spans="4:4">
      <c r="D261" s="5"/>
    </row>
    <row r="262" spans="4:4">
      <c r="D262" s="5"/>
    </row>
    <row r="263" spans="4:4">
      <c r="D263" s="5"/>
    </row>
    <row r="264" spans="4:4">
      <c r="D264" s="5"/>
    </row>
    <row r="265" spans="4:4">
      <c r="D265" s="5"/>
    </row>
    <row r="266" spans="4:4">
      <c r="D266" s="5"/>
    </row>
    <row r="267" spans="4:4">
      <c r="D267" s="5"/>
    </row>
    <row r="268" spans="4:4">
      <c r="D268" s="5"/>
    </row>
    <row r="269" spans="4:4">
      <c r="D269" s="5"/>
    </row>
    <row r="270" spans="4:4">
      <c r="D270" s="5"/>
    </row>
    <row r="271" spans="4:4">
      <c r="D271" s="5"/>
    </row>
    <row r="272" spans="4:4">
      <c r="D272" s="5"/>
    </row>
    <row r="273" spans="4:4">
      <c r="D273" s="5"/>
    </row>
    <row r="274" spans="4:4">
      <c r="D274" s="5"/>
    </row>
    <row r="275" spans="4:4">
      <c r="D275" s="5"/>
    </row>
    <row r="276" spans="4:4">
      <c r="D276" s="5"/>
    </row>
    <row r="277" spans="4:4">
      <c r="D277" s="5"/>
    </row>
    <row r="278" spans="4:4">
      <c r="D278" s="5"/>
    </row>
    <row r="279" spans="4:4">
      <c r="D279" s="5"/>
    </row>
    <row r="280" spans="4:4">
      <c r="D280" s="5"/>
    </row>
    <row r="281" spans="4:4">
      <c r="D281" s="5"/>
    </row>
    <row r="282" spans="4:4">
      <c r="D282" s="5"/>
    </row>
    <row r="283" spans="4:4">
      <c r="D283" s="5"/>
    </row>
    <row r="284" spans="4:4">
      <c r="D284" s="5"/>
    </row>
    <row r="285" spans="4:4">
      <c r="D285" s="5"/>
    </row>
    <row r="286" spans="4:4">
      <c r="D286" s="5"/>
    </row>
    <row r="287" spans="4:4">
      <c r="D287" s="5"/>
    </row>
    <row r="288" spans="4:4">
      <c r="D288" s="5"/>
    </row>
    <row r="289" spans="4:4">
      <c r="D289" s="5"/>
    </row>
    <row r="290" spans="4:4">
      <c r="D290" s="5"/>
    </row>
    <row r="291" spans="4:4">
      <c r="D291" s="5"/>
    </row>
    <row r="292" spans="4:4">
      <c r="D292" s="5"/>
    </row>
    <row r="293" spans="4:4">
      <c r="D293" s="5"/>
    </row>
    <row r="294" spans="4:4">
      <c r="D294" s="5"/>
    </row>
    <row r="295" spans="4:4">
      <c r="D295" s="5"/>
    </row>
    <row r="296" spans="4:4">
      <c r="D296" s="5"/>
    </row>
    <row r="297" spans="4:4">
      <c r="D297" s="5"/>
    </row>
    <row r="298" spans="4:4">
      <c r="D298" s="5"/>
    </row>
    <row r="299" spans="4:4">
      <c r="D299" s="5"/>
    </row>
    <row r="300" spans="4:4">
      <c r="D300" s="5"/>
    </row>
    <row r="301" spans="4:4">
      <c r="D301" s="5"/>
    </row>
    <row r="302" spans="4:4">
      <c r="D302" s="5"/>
    </row>
    <row r="303" spans="4:4">
      <c r="D303" s="5"/>
    </row>
    <row r="304" spans="4:4">
      <c r="D304" s="5"/>
    </row>
    <row r="305" spans="4:4">
      <c r="D305" s="5"/>
    </row>
    <row r="306" spans="4:4">
      <c r="D306" s="5"/>
    </row>
    <row r="307" spans="4:4">
      <c r="D307" s="5"/>
    </row>
    <row r="308" spans="4:4">
      <c r="D308" s="5"/>
    </row>
    <row r="309" spans="4:4">
      <c r="D309" s="5"/>
    </row>
    <row r="310" spans="4:4">
      <c r="D310" s="5"/>
    </row>
    <row r="311" spans="4:4">
      <c r="D311" s="5"/>
    </row>
    <row r="312" spans="4:4">
      <c r="D312" s="5"/>
    </row>
    <row r="313" spans="4:4">
      <c r="D313" s="5"/>
    </row>
    <row r="314" spans="4:4">
      <c r="D314" s="5"/>
    </row>
    <row r="315" spans="4:4">
      <c r="D315" s="5"/>
    </row>
    <row r="316" spans="4:4">
      <c r="D316" s="5"/>
    </row>
    <row r="317" spans="4:4">
      <c r="D317" s="5"/>
    </row>
    <row r="318" spans="4:4">
      <c r="D318" s="5"/>
    </row>
    <row r="319" spans="4:4">
      <c r="D319" s="5"/>
    </row>
    <row r="320" spans="4:4">
      <c r="D320" s="5"/>
    </row>
    <row r="321" spans="4:4">
      <c r="D321" s="5"/>
    </row>
    <row r="322" spans="4:4">
      <c r="D322" s="5"/>
    </row>
    <row r="323" spans="4:4">
      <c r="D323" s="5"/>
    </row>
    <row r="324" spans="4:4">
      <c r="D324" s="5"/>
    </row>
    <row r="325" spans="4:4">
      <c r="D325" s="5"/>
    </row>
    <row r="326" spans="4:4">
      <c r="D326" s="5"/>
    </row>
    <row r="327" spans="4:4">
      <c r="D327" s="5"/>
    </row>
    <row r="328" spans="4:4">
      <c r="D328" s="5"/>
    </row>
    <row r="329" spans="4:4">
      <c r="D329" s="5"/>
    </row>
    <row r="330" spans="4:4">
      <c r="D330" s="5"/>
    </row>
    <row r="331" spans="4:4">
      <c r="D331" s="5"/>
    </row>
    <row r="332" spans="4:4">
      <c r="D332" s="5"/>
    </row>
    <row r="333" spans="4:4">
      <c r="D333" s="5"/>
    </row>
    <row r="334" spans="4:4">
      <c r="D334" s="5"/>
    </row>
    <row r="335" spans="4:4">
      <c r="D335" s="5"/>
    </row>
    <row r="336" spans="4:4">
      <c r="D336" s="5"/>
    </row>
    <row r="337" spans="4:4">
      <c r="D337" s="5"/>
    </row>
    <row r="338" spans="4:4">
      <c r="D338" s="5"/>
    </row>
    <row r="339" spans="4:4">
      <c r="D339" s="5"/>
    </row>
    <row r="340" spans="4:4">
      <c r="D340" s="5"/>
    </row>
    <row r="341" spans="4:4">
      <c r="D341" s="5"/>
    </row>
    <row r="342" spans="4:4">
      <c r="D342" s="5"/>
    </row>
    <row r="343" spans="4:4">
      <c r="D343" s="5"/>
    </row>
    <row r="344" spans="4:4">
      <c r="D344" s="5"/>
    </row>
    <row r="345" spans="4:4">
      <c r="D345" s="5"/>
    </row>
    <row r="346" spans="4:4">
      <c r="D346" s="5"/>
    </row>
    <row r="347" spans="4:4">
      <c r="D347" s="5"/>
    </row>
    <row r="348" spans="4:4">
      <c r="D348" s="5"/>
    </row>
    <row r="349" spans="4:4">
      <c r="D349" s="5"/>
    </row>
    <row r="350" spans="4:4">
      <c r="D350" s="5"/>
    </row>
    <row r="351" spans="4:4">
      <c r="D351" s="5"/>
    </row>
    <row r="352" spans="4:4">
      <c r="D352" s="5"/>
    </row>
    <row r="353" spans="4:4">
      <c r="D353" s="5"/>
    </row>
    <row r="354" spans="4:4">
      <c r="D354" s="5"/>
    </row>
    <row r="355" spans="4:4">
      <c r="D355" s="5"/>
    </row>
    <row r="356" spans="4:4">
      <c r="D356" s="5"/>
    </row>
    <row r="357" spans="4:4">
      <c r="D357" s="5"/>
    </row>
    <row r="358" spans="4:4">
      <c r="D358" s="5"/>
    </row>
    <row r="359" spans="4:4">
      <c r="D359" s="5"/>
    </row>
    <row r="360" spans="4:4">
      <c r="D360" s="5"/>
    </row>
    <row r="361" spans="4:4">
      <c r="D361" s="5"/>
    </row>
    <row r="362" spans="4:4">
      <c r="D362" s="5"/>
    </row>
    <row r="363" spans="4:4">
      <c r="D363" s="5"/>
    </row>
    <row r="364" spans="4:4">
      <c r="D364" s="5"/>
    </row>
    <row r="365" spans="4:4">
      <c r="D365" s="5"/>
    </row>
    <row r="366" spans="4:4">
      <c r="D366" s="5"/>
    </row>
    <row r="367" spans="4:4">
      <c r="D367" s="5"/>
    </row>
    <row r="368" spans="4:4">
      <c r="D368" s="5"/>
    </row>
    <row r="369" spans="4:4">
      <c r="D369" s="5"/>
    </row>
    <row r="370" spans="4:4">
      <c r="D370" s="5"/>
    </row>
    <row r="371" spans="4:4">
      <c r="D371" s="5"/>
    </row>
    <row r="372" spans="4:4">
      <c r="D372" s="5"/>
    </row>
    <row r="373" spans="4:4">
      <c r="D373" s="5"/>
    </row>
    <row r="374" spans="4:4">
      <c r="D374" s="5"/>
    </row>
    <row r="375" spans="4:4">
      <c r="D375" s="5"/>
    </row>
    <row r="376" spans="4:4">
      <c r="D376" s="5"/>
    </row>
    <row r="377" spans="4:4">
      <c r="D377" s="5"/>
    </row>
    <row r="378" spans="4:4">
      <c r="D378" s="5"/>
    </row>
    <row r="379" spans="4:4">
      <c r="D379" s="5"/>
    </row>
    <row r="380" spans="4:4">
      <c r="D380" s="5"/>
    </row>
    <row r="381" spans="4:4">
      <c r="D381" s="5"/>
    </row>
    <row r="382" spans="4:4">
      <c r="D382" s="5"/>
    </row>
    <row r="383" spans="4:4">
      <c r="D383" s="5"/>
    </row>
    <row r="384" spans="4:4">
      <c r="D384" s="5"/>
    </row>
    <row r="385" spans="4:4">
      <c r="D385" s="5"/>
    </row>
    <row r="386" spans="4:4">
      <c r="D386" s="5"/>
    </row>
  </sheetData>
  <mergeCells count="4">
    <mergeCell ref="A4:F4"/>
    <mergeCell ref="A5:F5"/>
    <mergeCell ref="A6:F6"/>
    <mergeCell ref="A7:F7"/>
  </mergeCells>
  <phoneticPr fontId="5" type="noConversion"/>
  <pageMargins left="0.75" right="0.75" top="1" bottom="1" header="0.5" footer="0.5"/>
  <pageSetup scale="8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indexed="10"/>
    <pageSetUpPr fitToPage="1"/>
  </sheetPr>
  <dimension ref="A1:H376"/>
  <sheetViews>
    <sheetView workbookViewId="0">
      <selection activeCell="B12" sqref="B12:G13"/>
    </sheetView>
  </sheetViews>
  <sheetFormatPr defaultRowHeight="12.75"/>
  <cols>
    <col min="1" max="1" width="4.42578125" bestFit="1" customWidth="1"/>
    <col min="2" max="2" width="37.7109375" customWidth="1"/>
    <col min="3" max="3" width="17.42578125" style="16" bestFit="1" customWidth="1"/>
    <col min="4" max="4" width="17.5703125" bestFit="1" customWidth="1"/>
    <col min="5" max="5" width="16.5703125" bestFit="1" customWidth="1"/>
  </cols>
  <sheetData>
    <row r="1" spans="1:8">
      <c r="F1" t="str">
        <f>A!D1</f>
        <v>Docket No. RP16-299-000</v>
      </c>
    </row>
    <row r="2" spans="1:8">
      <c r="F2" t="s">
        <v>133</v>
      </c>
    </row>
    <row r="4" spans="1:8">
      <c r="A4" s="927" t="str">
        <f>'Sched E-3'!A4:F4</f>
        <v>Tuscarora Gas Transmission Company</v>
      </c>
      <c r="B4" s="927"/>
      <c r="C4" s="927"/>
      <c r="D4" s="927"/>
      <c r="E4" s="927"/>
      <c r="F4" s="927"/>
      <c r="G4" s="927"/>
      <c r="H4" s="927"/>
    </row>
    <row r="5" spans="1:8">
      <c r="A5" s="927" t="s">
        <v>134</v>
      </c>
      <c r="B5" s="927"/>
      <c r="C5" s="927"/>
      <c r="D5" s="927"/>
      <c r="E5" s="927"/>
      <c r="F5" s="927"/>
      <c r="G5" s="927"/>
      <c r="H5" s="927"/>
    </row>
    <row r="6" spans="1:8">
      <c r="A6" s="927"/>
      <c r="B6" s="927"/>
      <c r="C6" s="927"/>
      <c r="D6" s="927"/>
      <c r="E6" s="927"/>
      <c r="F6" s="927"/>
    </row>
    <row r="7" spans="1:8">
      <c r="A7" s="927"/>
      <c r="B7" s="927"/>
      <c r="C7" s="927"/>
      <c r="D7" s="927"/>
      <c r="E7" s="927"/>
      <c r="F7" s="927"/>
    </row>
    <row r="8" spans="1:8">
      <c r="A8" s="19"/>
      <c r="B8" s="632"/>
      <c r="C8" s="20"/>
      <c r="D8" s="20"/>
      <c r="E8" s="20"/>
      <c r="F8" s="20"/>
      <c r="G8" s="20"/>
      <c r="H8" s="19"/>
    </row>
    <row r="9" spans="1:8">
      <c r="A9" s="19"/>
      <c r="B9" s="632" t="s">
        <v>669</v>
      </c>
      <c r="C9" s="20"/>
      <c r="D9" s="20"/>
      <c r="E9" s="20"/>
      <c r="F9" s="20"/>
      <c r="G9" s="20"/>
      <c r="H9" s="19"/>
    </row>
    <row r="10" spans="1:8">
      <c r="A10" s="19"/>
      <c r="B10" s="20" t="str">
        <f>"rate of return of "&amp;TEXT('F-2'!I16,"0.00%")&amp;" applied to the net investment rate base for the period ending December 31, 2015, as adjusted. "</f>
        <v xml:space="preserve">rate of return of 11.24% applied to the net investment rate base for the period ending December 31, 2015, as adjusted. </v>
      </c>
      <c r="C10" s="20"/>
      <c r="D10" s="20"/>
      <c r="E10" s="20"/>
      <c r="F10" s="20"/>
      <c r="G10" s="20"/>
      <c r="H10" s="19"/>
    </row>
    <row r="11" spans="1:8">
      <c r="A11" s="19"/>
      <c r="B11" s="632"/>
      <c r="C11" s="20"/>
      <c r="D11" s="20"/>
      <c r="E11" s="20"/>
      <c r="F11" s="20"/>
      <c r="G11" s="20"/>
      <c r="H11" s="19"/>
    </row>
    <row r="12" spans="1:8">
      <c r="A12" s="19"/>
      <c r="B12" s="940" t="str">
        <f>"As shown on Statement F-2, the embedded cost of debt is "&amp;TEXT('F-2'!H14,"0.00%")&amp;" and embedded return on equity is "&amp;TEXT('F-2'!H15,"0.00%")&amp;"."</f>
        <v>As shown on Statement F-2, the embedded cost of debt is 3.30% and embedded return on equity is 14.96%.</v>
      </c>
      <c r="C12" s="941"/>
      <c r="D12" s="941"/>
      <c r="E12" s="941"/>
      <c r="F12" s="941"/>
      <c r="G12" s="941"/>
      <c r="H12" s="19"/>
    </row>
    <row r="13" spans="1:8">
      <c r="A13" s="19"/>
      <c r="B13" s="941"/>
      <c r="C13" s="941"/>
      <c r="D13" s="941"/>
      <c r="E13" s="941"/>
      <c r="F13" s="941"/>
      <c r="G13" s="941"/>
      <c r="H13" s="19"/>
    </row>
    <row r="14" spans="1:8">
      <c r="A14" s="19"/>
      <c r="B14" s="19"/>
      <c r="C14" s="74"/>
      <c r="D14" s="75"/>
      <c r="E14" s="19"/>
      <c r="F14" s="19"/>
      <c r="G14" s="19"/>
      <c r="H14" s="19"/>
    </row>
    <row r="15" spans="1:8">
      <c r="A15" s="19"/>
      <c r="B15" s="32"/>
      <c r="C15" s="74"/>
      <c r="D15" s="75"/>
      <c r="E15" s="19"/>
      <c r="F15" s="19"/>
      <c r="G15" s="19"/>
      <c r="H15" s="19"/>
    </row>
    <row r="16" spans="1:8">
      <c r="A16" s="19"/>
      <c r="B16" s="19"/>
      <c r="C16" s="74"/>
      <c r="D16" s="75"/>
      <c r="E16" s="19"/>
      <c r="F16" s="19"/>
      <c r="G16" s="19"/>
      <c r="H16" s="19"/>
    </row>
    <row r="17" spans="1:8">
      <c r="A17" s="19"/>
      <c r="B17" s="19"/>
      <c r="C17" s="74"/>
      <c r="D17" s="75"/>
      <c r="E17" s="19"/>
      <c r="F17" s="19"/>
      <c r="G17" s="19"/>
      <c r="H17" s="19"/>
    </row>
    <row r="18" spans="1:8">
      <c r="A18" s="19"/>
      <c r="B18" s="19"/>
      <c r="C18" s="74"/>
      <c r="D18" s="75"/>
      <c r="E18" s="19"/>
      <c r="F18" s="19"/>
      <c r="G18" s="19"/>
      <c r="H18" s="19"/>
    </row>
    <row r="19" spans="1:8">
      <c r="A19" s="19"/>
      <c r="B19" s="32"/>
      <c r="C19" s="74"/>
      <c r="D19" s="75"/>
      <c r="E19" s="19"/>
      <c r="F19" s="19"/>
      <c r="G19" s="19"/>
      <c r="H19" s="19"/>
    </row>
    <row r="20" spans="1:8">
      <c r="A20" s="19"/>
      <c r="B20" s="32"/>
      <c r="C20" s="74"/>
      <c r="D20" s="75"/>
      <c r="E20" s="19"/>
      <c r="F20" s="19"/>
      <c r="G20" s="19"/>
      <c r="H20" s="19"/>
    </row>
    <row r="21" spans="1:8">
      <c r="A21" s="19"/>
      <c r="B21" s="32"/>
      <c r="C21" s="74"/>
      <c r="D21" s="75"/>
      <c r="E21" s="19"/>
      <c r="F21" s="19"/>
      <c r="G21" s="19"/>
      <c r="H21" s="19"/>
    </row>
    <row r="22" spans="1:8">
      <c r="B22" s="30"/>
      <c r="D22" s="5"/>
    </row>
    <row r="23" spans="1:8">
      <c r="B23" s="31"/>
      <c r="D23" s="5"/>
    </row>
    <row r="24" spans="1:8" ht="15.75">
      <c r="B24" s="25"/>
      <c r="D24" s="5"/>
    </row>
    <row r="25" spans="1:8">
      <c r="D25" s="5"/>
    </row>
    <row r="26" spans="1:8">
      <c r="D26" s="5"/>
    </row>
    <row r="27" spans="1:8">
      <c r="D27" s="5"/>
    </row>
    <row r="28" spans="1:8">
      <c r="D28" s="5"/>
    </row>
    <row r="29" spans="1:8">
      <c r="D29" s="5"/>
    </row>
    <row r="30" spans="1:8">
      <c r="D30" s="5"/>
    </row>
    <row r="31" spans="1:8">
      <c r="D31" s="5"/>
    </row>
    <row r="32" spans="1:8">
      <c r="D32" s="5"/>
    </row>
    <row r="33" spans="4:4">
      <c r="D33" s="5"/>
    </row>
    <row r="34" spans="4:4">
      <c r="D34" s="5"/>
    </row>
    <row r="35" spans="4:4">
      <c r="D35" s="5"/>
    </row>
    <row r="36" spans="4:4">
      <c r="D36" s="5"/>
    </row>
    <row r="37" spans="4:4">
      <c r="D37" s="5"/>
    </row>
    <row r="38" spans="4:4">
      <c r="D38" s="5"/>
    </row>
    <row r="39" spans="4:4">
      <c r="D39" s="5"/>
    </row>
    <row r="40" spans="4:4">
      <c r="D40" s="5"/>
    </row>
    <row r="41" spans="4:4">
      <c r="D41" s="5"/>
    </row>
    <row r="42" spans="4:4">
      <c r="D42" s="5"/>
    </row>
    <row r="43" spans="4:4">
      <c r="D43" s="5"/>
    </row>
    <row r="44" spans="4:4">
      <c r="D44" s="5"/>
    </row>
    <row r="45" spans="4:4">
      <c r="D45" s="5"/>
    </row>
    <row r="46" spans="4:4">
      <c r="D46" s="5"/>
    </row>
    <row r="47" spans="4:4">
      <c r="D47" s="5"/>
    </row>
    <row r="48" spans="4:4">
      <c r="D48" s="5"/>
    </row>
    <row r="49" spans="4:4">
      <c r="D49" s="5"/>
    </row>
    <row r="50" spans="4:4">
      <c r="D50" s="5"/>
    </row>
    <row r="51" spans="4:4">
      <c r="D51" s="5"/>
    </row>
    <row r="52" spans="4:4">
      <c r="D52" s="5"/>
    </row>
    <row r="53" spans="4:4">
      <c r="D53" s="5"/>
    </row>
    <row r="54" spans="4:4">
      <c r="D54" s="5"/>
    </row>
    <row r="55" spans="4:4">
      <c r="D55" s="5"/>
    </row>
    <row r="56" spans="4:4">
      <c r="D56" s="5"/>
    </row>
    <row r="57" spans="4:4">
      <c r="D57" s="5"/>
    </row>
    <row r="58" spans="4:4">
      <c r="D58" s="5"/>
    </row>
    <row r="59" spans="4:4">
      <c r="D59" s="5"/>
    </row>
    <row r="60" spans="4:4">
      <c r="D60" s="5"/>
    </row>
    <row r="61" spans="4:4">
      <c r="D61" s="5"/>
    </row>
    <row r="62" spans="4:4">
      <c r="D62" s="5"/>
    </row>
    <row r="63" spans="4:4">
      <c r="D63" s="5"/>
    </row>
    <row r="64" spans="4:4">
      <c r="D64" s="5"/>
    </row>
    <row r="65" spans="4:4">
      <c r="D65" s="5"/>
    </row>
    <row r="66" spans="4:4">
      <c r="D66" s="5"/>
    </row>
    <row r="67" spans="4:4">
      <c r="D67" s="5"/>
    </row>
    <row r="68" spans="4:4">
      <c r="D68" s="5"/>
    </row>
    <row r="69" spans="4:4">
      <c r="D69" s="5"/>
    </row>
    <row r="70" spans="4:4">
      <c r="D70" s="5"/>
    </row>
    <row r="71" spans="4:4">
      <c r="D71" s="5"/>
    </row>
    <row r="72" spans="4:4">
      <c r="D72" s="5"/>
    </row>
    <row r="73" spans="4:4">
      <c r="D73" s="5"/>
    </row>
    <row r="74" spans="4:4">
      <c r="D74" s="5"/>
    </row>
    <row r="75" spans="4:4">
      <c r="D75" s="5"/>
    </row>
    <row r="76" spans="4:4">
      <c r="D76" s="5"/>
    </row>
    <row r="77" spans="4:4">
      <c r="D77" s="5"/>
    </row>
    <row r="78" spans="4:4">
      <c r="D78" s="5"/>
    </row>
    <row r="79" spans="4:4">
      <c r="D79" s="5"/>
    </row>
    <row r="80" spans="4:4">
      <c r="D80" s="5"/>
    </row>
    <row r="81" spans="4:4">
      <c r="D81" s="5"/>
    </row>
    <row r="82" spans="4:4">
      <c r="D82" s="5"/>
    </row>
    <row r="83" spans="4:4">
      <c r="D83" s="5"/>
    </row>
    <row r="84" spans="4:4">
      <c r="D84" s="5"/>
    </row>
    <row r="85" spans="4:4">
      <c r="D85" s="5"/>
    </row>
    <row r="86" spans="4:4">
      <c r="D86" s="5"/>
    </row>
    <row r="87" spans="4:4">
      <c r="D87" s="5"/>
    </row>
    <row r="88" spans="4:4">
      <c r="D88" s="5"/>
    </row>
    <row r="89" spans="4:4">
      <c r="D89" s="5"/>
    </row>
    <row r="90" spans="4:4">
      <c r="D90" s="5"/>
    </row>
    <row r="91" spans="4:4">
      <c r="D91" s="5"/>
    </row>
    <row r="92" spans="4:4">
      <c r="D92" s="5"/>
    </row>
    <row r="93" spans="4:4">
      <c r="D93" s="5"/>
    </row>
    <row r="94" spans="4:4">
      <c r="D94" s="5"/>
    </row>
    <row r="95" spans="4:4">
      <c r="D95" s="5"/>
    </row>
    <row r="96" spans="4:4">
      <c r="D96" s="5"/>
    </row>
    <row r="97" spans="4:4">
      <c r="D97" s="5"/>
    </row>
    <row r="98" spans="4:4">
      <c r="D98" s="5"/>
    </row>
    <row r="99" spans="4:4">
      <c r="D99" s="5"/>
    </row>
    <row r="100" spans="4:4">
      <c r="D100" s="5"/>
    </row>
    <row r="101" spans="4:4">
      <c r="D101" s="5"/>
    </row>
    <row r="102" spans="4:4">
      <c r="D102" s="5"/>
    </row>
    <row r="103" spans="4:4">
      <c r="D103" s="5"/>
    </row>
    <row r="104" spans="4:4">
      <c r="D104" s="5"/>
    </row>
    <row r="105" spans="4:4">
      <c r="D105" s="5"/>
    </row>
    <row r="106" spans="4:4">
      <c r="D106" s="5"/>
    </row>
    <row r="107" spans="4:4">
      <c r="D107" s="5"/>
    </row>
    <row r="108" spans="4:4">
      <c r="D108" s="5"/>
    </row>
    <row r="109" spans="4:4">
      <c r="D109" s="5"/>
    </row>
    <row r="110" spans="4:4">
      <c r="D110" s="5"/>
    </row>
    <row r="111" spans="4:4">
      <c r="D111" s="5"/>
    </row>
    <row r="112" spans="4:4">
      <c r="D112" s="5"/>
    </row>
    <row r="113" spans="4:4">
      <c r="D113" s="5"/>
    </row>
    <row r="114" spans="4:4">
      <c r="D114" s="5"/>
    </row>
    <row r="115" spans="4:4">
      <c r="D115" s="5"/>
    </row>
    <row r="116" spans="4:4">
      <c r="D116" s="5"/>
    </row>
    <row r="117" spans="4:4">
      <c r="D117" s="5"/>
    </row>
    <row r="118" spans="4:4">
      <c r="D118" s="5"/>
    </row>
    <row r="119" spans="4:4">
      <c r="D119" s="5"/>
    </row>
    <row r="120" spans="4:4">
      <c r="D120" s="5"/>
    </row>
    <row r="121" spans="4:4">
      <c r="D121" s="5"/>
    </row>
    <row r="122" spans="4:4">
      <c r="D122" s="5"/>
    </row>
    <row r="123" spans="4:4">
      <c r="D123" s="5"/>
    </row>
    <row r="124" spans="4:4">
      <c r="D124" s="5"/>
    </row>
    <row r="125" spans="4:4">
      <c r="D125" s="5"/>
    </row>
    <row r="126" spans="4:4">
      <c r="D126" s="5"/>
    </row>
    <row r="127" spans="4:4">
      <c r="D127" s="5"/>
    </row>
    <row r="128" spans="4:4">
      <c r="D128" s="5"/>
    </row>
    <row r="129" spans="4:4">
      <c r="D129" s="5"/>
    </row>
    <row r="130" spans="4:4">
      <c r="D130" s="5"/>
    </row>
    <row r="131" spans="4:4">
      <c r="D131" s="5"/>
    </row>
    <row r="132" spans="4:4">
      <c r="D132" s="5"/>
    </row>
    <row r="133" spans="4:4">
      <c r="D133" s="5"/>
    </row>
    <row r="134" spans="4:4">
      <c r="D134" s="5"/>
    </row>
    <row r="135" spans="4:4">
      <c r="D135" s="5"/>
    </row>
    <row r="136" spans="4:4">
      <c r="D136" s="5"/>
    </row>
    <row r="137" spans="4:4">
      <c r="D137" s="5"/>
    </row>
    <row r="138" spans="4:4">
      <c r="D138" s="5"/>
    </row>
    <row r="139" spans="4:4">
      <c r="D139" s="5"/>
    </row>
    <row r="140" spans="4:4">
      <c r="D140" s="5"/>
    </row>
    <row r="141" spans="4:4">
      <c r="D141" s="5"/>
    </row>
    <row r="142" spans="4:4">
      <c r="D142" s="5"/>
    </row>
    <row r="143" spans="4:4">
      <c r="D143" s="5"/>
    </row>
    <row r="144" spans="4:4">
      <c r="D144" s="5"/>
    </row>
    <row r="145" spans="4:4">
      <c r="D145" s="5"/>
    </row>
    <row r="146" spans="4:4">
      <c r="D146" s="5"/>
    </row>
    <row r="147" spans="4:4">
      <c r="D147" s="5"/>
    </row>
    <row r="148" spans="4:4">
      <c r="D148" s="5"/>
    </row>
    <row r="149" spans="4:4">
      <c r="D149" s="5"/>
    </row>
    <row r="150" spans="4:4">
      <c r="D150" s="5"/>
    </row>
    <row r="151" spans="4:4">
      <c r="D151" s="5"/>
    </row>
    <row r="152" spans="4:4">
      <c r="D152" s="5"/>
    </row>
    <row r="153" spans="4:4">
      <c r="D153" s="5"/>
    </row>
    <row r="154" spans="4:4">
      <c r="D154" s="5"/>
    </row>
    <row r="155" spans="4:4">
      <c r="D155" s="5"/>
    </row>
    <row r="156" spans="4:4">
      <c r="D156" s="5"/>
    </row>
    <row r="157" spans="4:4">
      <c r="D157" s="5"/>
    </row>
    <row r="158" spans="4:4">
      <c r="D158" s="5"/>
    </row>
    <row r="159" spans="4:4">
      <c r="D159" s="5"/>
    </row>
    <row r="160" spans="4:4">
      <c r="D160" s="5"/>
    </row>
    <row r="161" spans="4:4">
      <c r="D161" s="5"/>
    </row>
    <row r="162" spans="4:4">
      <c r="D162" s="5"/>
    </row>
    <row r="163" spans="4:4">
      <c r="D163" s="5"/>
    </row>
    <row r="164" spans="4:4">
      <c r="D164" s="5"/>
    </row>
    <row r="165" spans="4:4">
      <c r="D165" s="5"/>
    </row>
    <row r="166" spans="4:4">
      <c r="D166" s="5"/>
    </row>
    <row r="167" spans="4:4">
      <c r="D167" s="5"/>
    </row>
    <row r="168" spans="4:4">
      <c r="D168" s="5"/>
    </row>
    <row r="169" spans="4:4">
      <c r="D169" s="5"/>
    </row>
    <row r="170" spans="4:4">
      <c r="D170" s="5"/>
    </row>
    <row r="171" spans="4:4">
      <c r="D171" s="5"/>
    </row>
    <row r="172" spans="4:4">
      <c r="D172" s="5"/>
    </row>
    <row r="173" spans="4:4">
      <c r="D173" s="5"/>
    </row>
    <row r="174" spans="4:4">
      <c r="D174" s="5"/>
    </row>
    <row r="175" spans="4:4">
      <c r="D175" s="5"/>
    </row>
    <row r="176" spans="4:4">
      <c r="D176" s="5"/>
    </row>
    <row r="177" spans="4:4">
      <c r="D177" s="5"/>
    </row>
    <row r="178" spans="4:4">
      <c r="D178" s="5"/>
    </row>
    <row r="179" spans="4:4">
      <c r="D179" s="5"/>
    </row>
    <row r="180" spans="4:4">
      <c r="D180" s="5"/>
    </row>
    <row r="181" spans="4:4">
      <c r="D181" s="5"/>
    </row>
    <row r="182" spans="4:4">
      <c r="D182" s="5"/>
    </row>
    <row r="183" spans="4:4">
      <c r="D183" s="5"/>
    </row>
    <row r="184" spans="4:4">
      <c r="D184" s="5"/>
    </row>
    <row r="185" spans="4:4">
      <c r="D185" s="5"/>
    </row>
    <row r="186" spans="4:4">
      <c r="D186" s="5"/>
    </row>
    <row r="187" spans="4:4">
      <c r="D187" s="5"/>
    </row>
    <row r="188" spans="4:4">
      <c r="D188" s="5"/>
    </row>
    <row r="189" spans="4:4">
      <c r="D189" s="5"/>
    </row>
    <row r="190" spans="4:4">
      <c r="D190" s="5"/>
    </row>
    <row r="191" spans="4:4">
      <c r="D191" s="5"/>
    </row>
    <row r="192" spans="4:4">
      <c r="D192" s="5"/>
    </row>
    <row r="193" spans="4:4">
      <c r="D193" s="5"/>
    </row>
    <row r="194" spans="4:4">
      <c r="D194" s="5"/>
    </row>
    <row r="195" spans="4:4">
      <c r="D195" s="5"/>
    </row>
    <row r="196" spans="4:4">
      <c r="D196" s="5"/>
    </row>
    <row r="197" spans="4:4">
      <c r="D197" s="5"/>
    </row>
    <row r="198" spans="4:4">
      <c r="D198" s="5"/>
    </row>
    <row r="199" spans="4:4">
      <c r="D199" s="5"/>
    </row>
    <row r="200" spans="4:4">
      <c r="D200" s="5"/>
    </row>
    <row r="201" spans="4:4">
      <c r="D201" s="5"/>
    </row>
    <row r="202" spans="4:4">
      <c r="D202" s="5"/>
    </row>
    <row r="203" spans="4:4">
      <c r="D203" s="5"/>
    </row>
    <row r="204" spans="4:4">
      <c r="D204" s="5"/>
    </row>
    <row r="205" spans="4:4">
      <c r="D205" s="5"/>
    </row>
    <row r="206" spans="4:4">
      <c r="D206" s="5"/>
    </row>
    <row r="207" spans="4:4">
      <c r="D207" s="5"/>
    </row>
    <row r="208" spans="4:4">
      <c r="D208" s="5"/>
    </row>
    <row r="209" spans="4:4">
      <c r="D209" s="5"/>
    </row>
    <row r="210" spans="4:4">
      <c r="D210" s="5"/>
    </row>
    <row r="211" spans="4:4">
      <c r="D211" s="5"/>
    </row>
    <row r="212" spans="4:4">
      <c r="D212" s="5"/>
    </row>
    <row r="213" spans="4:4">
      <c r="D213" s="5"/>
    </row>
    <row r="214" spans="4:4">
      <c r="D214" s="5"/>
    </row>
    <row r="215" spans="4:4">
      <c r="D215" s="5"/>
    </row>
    <row r="216" spans="4:4">
      <c r="D216" s="5"/>
    </row>
    <row r="217" spans="4:4">
      <c r="D217" s="5"/>
    </row>
    <row r="218" spans="4:4">
      <c r="D218" s="5"/>
    </row>
    <row r="219" spans="4:4">
      <c r="D219" s="5"/>
    </row>
    <row r="220" spans="4:4">
      <c r="D220" s="5"/>
    </row>
    <row r="221" spans="4:4">
      <c r="D221" s="5"/>
    </row>
    <row r="222" spans="4:4">
      <c r="D222" s="5"/>
    </row>
    <row r="223" spans="4:4">
      <c r="D223" s="5"/>
    </row>
    <row r="224" spans="4:4">
      <c r="D224" s="5"/>
    </row>
    <row r="225" spans="4:4">
      <c r="D225" s="5"/>
    </row>
    <row r="226" spans="4:4">
      <c r="D226" s="5"/>
    </row>
    <row r="227" spans="4:4">
      <c r="D227" s="5"/>
    </row>
    <row r="228" spans="4:4">
      <c r="D228" s="5"/>
    </row>
    <row r="229" spans="4:4">
      <c r="D229" s="5"/>
    </row>
    <row r="230" spans="4:4">
      <c r="D230" s="5"/>
    </row>
    <row r="231" spans="4:4">
      <c r="D231" s="5"/>
    </row>
    <row r="232" spans="4:4">
      <c r="D232" s="5"/>
    </row>
    <row r="233" spans="4:4">
      <c r="D233" s="5"/>
    </row>
    <row r="234" spans="4:4">
      <c r="D234" s="5"/>
    </row>
    <row r="235" spans="4:4">
      <c r="D235" s="5"/>
    </row>
    <row r="236" spans="4:4">
      <c r="D236" s="5"/>
    </row>
    <row r="237" spans="4:4">
      <c r="D237" s="5"/>
    </row>
    <row r="238" spans="4:4">
      <c r="D238" s="5"/>
    </row>
    <row r="239" spans="4:4">
      <c r="D239" s="5"/>
    </row>
    <row r="240" spans="4:4">
      <c r="D240" s="5"/>
    </row>
    <row r="241" spans="4:4">
      <c r="D241" s="5"/>
    </row>
    <row r="242" spans="4:4">
      <c r="D242" s="5"/>
    </row>
    <row r="243" spans="4:4">
      <c r="D243" s="5"/>
    </row>
    <row r="244" spans="4:4">
      <c r="D244" s="5"/>
    </row>
    <row r="245" spans="4:4">
      <c r="D245" s="5"/>
    </row>
    <row r="246" spans="4:4">
      <c r="D246" s="5"/>
    </row>
    <row r="247" spans="4:4">
      <c r="D247" s="5"/>
    </row>
    <row r="248" spans="4:4">
      <c r="D248" s="5"/>
    </row>
    <row r="249" spans="4:4">
      <c r="D249" s="5"/>
    </row>
    <row r="250" spans="4:4">
      <c r="D250" s="5"/>
    </row>
    <row r="251" spans="4:4">
      <c r="D251" s="5"/>
    </row>
    <row r="252" spans="4:4">
      <c r="D252" s="5"/>
    </row>
    <row r="253" spans="4:4">
      <c r="D253" s="5"/>
    </row>
    <row r="254" spans="4:4">
      <c r="D254" s="5"/>
    </row>
    <row r="255" spans="4:4">
      <c r="D255" s="5"/>
    </row>
    <row r="256" spans="4:4">
      <c r="D256" s="5"/>
    </row>
    <row r="257" spans="4:4">
      <c r="D257" s="5"/>
    </row>
    <row r="258" spans="4:4">
      <c r="D258" s="5"/>
    </row>
    <row r="259" spans="4:4">
      <c r="D259" s="5"/>
    </row>
    <row r="260" spans="4:4">
      <c r="D260" s="5"/>
    </row>
    <row r="261" spans="4:4">
      <c r="D261" s="5"/>
    </row>
    <row r="262" spans="4:4">
      <c r="D262" s="5"/>
    </row>
    <row r="263" spans="4:4">
      <c r="D263" s="5"/>
    </row>
    <row r="264" spans="4:4">
      <c r="D264" s="5"/>
    </row>
    <row r="265" spans="4:4">
      <c r="D265" s="5"/>
    </row>
    <row r="266" spans="4:4">
      <c r="D266" s="5"/>
    </row>
    <row r="267" spans="4:4">
      <c r="D267" s="5"/>
    </row>
    <row r="268" spans="4:4">
      <c r="D268" s="5"/>
    </row>
    <row r="269" spans="4:4">
      <c r="D269" s="5"/>
    </row>
    <row r="270" spans="4:4">
      <c r="D270" s="5"/>
    </row>
    <row r="271" spans="4:4">
      <c r="D271" s="5"/>
    </row>
    <row r="272" spans="4:4">
      <c r="D272" s="5"/>
    </row>
    <row r="273" spans="4:4">
      <c r="D273" s="5"/>
    </row>
    <row r="274" spans="4:4">
      <c r="D274" s="5"/>
    </row>
    <row r="275" spans="4:4">
      <c r="D275" s="5"/>
    </row>
    <row r="276" spans="4:4">
      <c r="D276" s="5"/>
    </row>
    <row r="277" spans="4:4">
      <c r="D277" s="5"/>
    </row>
    <row r="278" spans="4:4">
      <c r="D278" s="5"/>
    </row>
    <row r="279" spans="4:4">
      <c r="D279" s="5"/>
    </row>
    <row r="280" spans="4:4">
      <c r="D280" s="5"/>
    </row>
    <row r="281" spans="4:4">
      <c r="D281" s="5"/>
    </row>
    <row r="282" spans="4:4">
      <c r="D282" s="5"/>
    </row>
    <row r="283" spans="4:4">
      <c r="D283" s="5"/>
    </row>
    <row r="284" spans="4:4">
      <c r="D284" s="5"/>
    </row>
    <row r="285" spans="4:4">
      <c r="D285" s="5"/>
    </row>
    <row r="286" spans="4:4">
      <c r="D286" s="5"/>
    </row>
    <row r="287" spans="4:4">
      <c r="D287" s="5"/>
    </row>
    <row r="288" spans="4:4">
      <c r="D288" s="5"/>
    </row>
    <row r="289" spans="4:4">
      <c r="D289" s="5"/>
    </row>
    <row r="290" spans="4:4">
      <c r="D290" s="5"/>
    </row>
    <row r="291" spans="4:4">
      <c r="D291" s="5"/>
    </row>
    <row r="292" spans="4:4">
      <c r="D292" s="5"/>
    </row>
    <row r="293" spans="4:4">
      <c r="D293" s="5"/>
    </row>
    <row r="294" spans="4:4">
      <c r="D294" s="5"/>
    </row>
    <row r="295" spans="4:4">
      <c r="D295" s="5"/>
    </row>
    <row r="296" spans="4:4">
      <c r="D296" s="5"/>
    </row>
    <row r="297" spans="4:4">
      <c r="D297" s="5"/>
    </row>
    <row r="298" spans="4:4">
      <c r="D298" s="5"/>
    </row>
    <row r="299" spans="4:4">
      <c r="D299" s="5"/>
    </row>
    <row r="300" spans="4:4">
      <c r="D300" s="5"/>
    </row>
    <row r="301" spans="4:4">
      <c r="D301" s="5"/>
    </row>
    <row r="302" spans="4:4">
      <c r="D302" s="5"/>
    </row>
    <row r="303" spans="4:4">
      <c r="D303" s="5"/>
    </row>
    <row r="304" spans="4:4">
      <c r="D304" s="5"/>
    </row>
    <row r="305" spans="4:4">
      <c r="D305" s="5"/>
    </row>
    <row r="306" spans="4:4">
      <c r="D306" s="5"/>
    </row>
    <row r="307" spans="4:4">
      <c r="D307" s="5"/>
    </row>
    <row r="308" spans="4:4">
      <c r="D308" s="5"/>
    </row>
    <row r="309" spans="4:4">
      <c r="D309" s="5"/>
    </row>
    <row r="310" spans="4:4">
      <c r="D310" s="5"/>
    </row>
    <row r="311" spans="4:4">
      <c r="D311" s="5"/>
    </row>
    <row r="312" spans="4:4">
      <c r="D312" s="5"/>
    </row>
    <row r="313" spans="4:4">
      <c r="D313" s="5"/>
    </row>
    <row r="314" spans="4:4">
      <c r="D314" s="5"/>
    </row>
    <row r="315" spans="4:4">
      <c r="D315" s="5"/>
    </row>
    <row r="316" spans="4:4">
      <c r="D316" s="5"/>
    </row>
    <row r="317" spans="4:4">
      <c r="D317" s="5"/>
    </row>
    <row r="318" spans="4:4">
      <c r="D318" s="5"/>
    </row>
    <row r="319" spans="4:4">
      <c r="D319" s="5"/>
    </row>
    <row r="320" spans="4:4">
      <c r="D320" s="5"/>
    </row>
    <row r="321" spans="4:4">
      <c r="D321" s="5"/>
    </row>
    <row r="322" spans="4:4">
      <c r="D322" s="5"/>
    </row>
    <row r="323" spans="4:4">
      <c r="D323" s="5"/>
    </row>
    <row r="324" spans="4:4">
      <c r="D324" s="5"/>
    </row>
    <row r="325" spans="4:4">
      <c r="D325" s="5"/>
    </row>
    <row r="326" spans="4:4">
      <c r="D326" s="5"/>
    </row>
    <row r="327" spans="4:4">
      <c r="D327" s="5"/>
    </row>
    <row r="328" spans="4:4">
      <c r="D328" s="5"/>
    </row>
    <row r="329" spans="4:4">
      <c r="D329" s="5"/>
    </row>
    <row r="330" spans="4:4">
      <c r="D330" s="5"/>
    </row>
    <row r="331" spans="4:4">
      <c r="D331" s="5"/>
    </row>
    <row r="332" spans="4:4">
      <c r="D332" s="5"/>
    </row>
    <row r="333" spans="4:4">
      <c r="D333" s="5"/>
    </row>
    <row r="334" spans="4:4">
      <c r="D334" s="5"/>
    </row>
    <row r="335" spans="4:4">
      <c r="D335" s="5"/>
    </row>
    <row r="336" spans="4:4">
      <c r="D336" s="5"/>
    </row>
    <row r="337" spans="4:4">
      <c r="D337" s="5"/>
    </row>
    <row r="338" spans="4:4">
      <c r="D338" s="5"/>
    </row>
    <row r="339" spans="4:4">
      <c r="D339" s="5"/>
    </row>
    <row r="340" spans="4:4">
      <c r="D340" s="5"/>
    </row>
    <row r="341" spans="4:4">
      <c r="D341" s="5"/>
    </row>
    <row r="342" spans="4:4">
      <c r="D342" s="5"/>
    </row>
    <row r="343" spans="4:4">
      <c r="D343" s="5"/>
    </row>
    <row r="344" spans="4:4">
      <c r="D344" s="5"/>
    </row>
    <row r="345" spans="4:4">
      <c r="D345" s="5"/>
    </row>
    <row r="346" spans="4:4">
      <c r="D346" s="5"/>
    </row>
    <row r="347" spans="4:4">
      <c r="D347" s="5"/>
    </row>
    <row r="348" spans="4:4">
      <c r="D348" s="5"/>
    </row>
    <row r="349" spans="4:4">
      <c r="D349" s="5"/>
    </row>
    <row r="350" spans="4:4">
      <c r="D350" s="5"/>
    </row>
    <row r="351" spans="4:4">
      <c r="D351" s="5"/>
    </row>
    <row r="352" spans="4:4">
      <c r="D352" s="5"/>
    </row>
    <row r="353" spans="4:4">
      <c r="D353" s="5"/>
    </row>
    <row r="354" spans="4:4">
      <c r="D354" s="5"/>
    </row>
    <row r="355" spans="4:4">
      <c r="D355" s="5"/>
    </row>
    <row r="356" spans="4:4">
      <c r="D356" s="5"/>
    </row>
    <row r="357" spans="4:4">
      <c r="D357" s="5"/>
    </row>
    <row r="358" spans="4:4">
      <c r="D358" s="5"/>
    </row>
    <row r="359" spans="4:4">
      <c r="D359" s="5"/>
    </row>
    <row r="360" spans="4:4">
      <c r="D360" s="5"/>
    </row>
    <row r="361" spans="4:4">
      <c r="D361" s="5"/>
    </row>
    <row r="362" spans="4:4">
      <c r="D362" s="5"/>
    </row>
    <row r="363" spans="4:4">
      <c r="D363" s="5"/>
    </row>
    <row r="364" spans="4:4">
      <c r="D364" s="5"/>
    </row>
    <row r="365" spans="4:4">
      <c r="D365" s="5"/>
    </row>
    <row r="366" spans="4:4">
      <c r="D366" s="5"/>
    </row>
    <row r="367" spans="4:4">
      <c r="D367" s="5"/>
    </row>
    <row r="368" spans="4:4">
      <c r="D368" s="5"/>
    </row>
    <row r="369" spans="4:4">
      <c r="D369" s="5"/>
    </row>
    <row r="370" spans="4:4">
      <c r="D370" s="5"/>
    </row>
    <row r="371" spans="4:4">
      <c r="D371" s="5"/>
    </row>
    <row r="372" spans="4:4">
      <c r="D372" s="5"/>
    </row>
    <row r="373" spans="4:4">
      <c r="D373" s="5"/>
    </row>
    <row r="374" spans="4:4">
      <c r="D374" s="5"/>
    </row>
    <row r="375" spans="4:4">
      <c r="D375" s="5"/>
    </row>
    <row r="376" spans="4:4">
      <c r="D376" s="5"/>
    </row>
  </sheetData>
  <mergeCells count="5">
    <mergeCell ref="B12:G13"/>
    <mergeCell ref="A6:F6"/>
    <mergeCell ref="A7:F7"/>
    <mergeCell ref="A4:H4"/>
    <mergeCell ref="A5:H5"/>
  </mergeCells>
  <phoneticPr fontId="5" type="noConversion"/>
  <pageMargins left="0.75" right="0.75" top="1" bottom="1" header="0.5" footer="0.5"/>
  <pageSetup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indexed="17"/>
    <pageSetUpPr fitToPage="1"/>
  </sheetPr>
  <dimension ref="A1:I346"/>
  <sheetViews>
    <sheetView zoomScaleNormal="100" workbookViewId="0">
      <selection activeCell="A4" sqref="A4:I4"/>
    </sheetView>
  </sheetViews>
  <sheetFormatPr defaultRowHeight="12.75"/>
  <cols>
    <col min="1" max="1" width="4.42578125" bestFit="1" customWidth="1"/>
    <col min="2" max="2" width="56.85546875" customWidth="1"/>
    <col min="3" max="3" width="28.42578125" style="16" customWidth="1"/>
    <col min="4" max="4" width="17.5703125" bestFit="1" customWidth="1"/>
    <col min="5" max="5" width="3.140625" customWidth="1"/>
    <col min="6" max="6" width="18" bestFit="1" customWidth="1"/>
    <col min="7" max="7" width="12.7109375" bestFit="1" customWidth="1"/>
    <col min="8" max="8" width="17.42578125" bestFit="1" customWidth="1"/>
    <col min="9" max="9" width="16.5703125" bestFit="1" customWidth="1"/>
  </cols>
  <sheetData>
    <row r="1" spans="1:9">
      <c r="I1" t="str">
        <f>A!D1</f>
        <v>Docket No. RP16-299-000</v>
      </c>
    </row>
    <row r="2" spans="1:9">
      <c r="I2" t="s">
        <v>36</v>
      </c>
    </row>
    <row r="4" spans="1:9">
      <c r="A4" s="927" t="str">
        <f>'F-1'!A4:H4</f>
        <v>Tuscarora Gas Transmission Company</v>
      </c>
      <c r="B4" s="927"/>
      <c r="C4" s="927"/>
      <c r="D4" s="927"/>
      <c r="E4" s="927"/>
      <c r="F4" s="927"/>
      <c r="G4" s="927"/>
      <c r="H4" s="927"/>
      <c r="I4" s="927"/>
    </row>
    <row r="5" spans="1:9">
      <c r="A5" s="927" t="s">
        <v>37</v>
      </c>
      <c r="B5" s="927"/>
      <c r="C5" s="927"/>
      <c r="D5" s="927"/>
      <c r="E5" s="927"/>
      <c r="F5" s="927"/>
      <c r="G5" s="927"/>
      <c r="H5" s="927"/>
      <c r="I5" s="927"/>
    </row>
    <row r="6" spans="1:9">
      <c r="A6" s="928">
        <f>'Title Input and Macros'!B12</f>
        <v>42369</v>
      </c>
      <c r="B6" s="928"/>
      <c r="C6" s="928"/>
      <c r="D6" s="928"/>
      <c r="E6" s="928"/>
      <c r="F6" s="928"/>
      <c r="G6" s="928"/>
      <c r="H6" s="928"/>
      <c r="I6" s="928"/>
    </row>
    <row r="7" spans="1:9">
      <c r="A7" s="927"/>
      <c r="B7" s="927"/>
      <c r="C7" s="927"/>
      <c r="D7" s="927"/>
      <c r="E7" s="927"/>
      <c r="F7" s="927"/>
      <c r="G7" s="927"/>
      <c r="H7" s="927"/>
      <c r="I7" s="927"/>
    </row>
    <row r="9" spans="1:9">
      <c r="A9" t="s">
        <v>352</v>
      </c>
      <c r="C9" s="14" t="s">
        <v>38</v>
      </c>
      <c r="D9" s="2"/>
      <c r="E9" s="887"/>
      <c r="F9" s="36">
        <f>'Title Input and Macros'!B14</f>
        <v>42551</v>
      </c>
      <c r="G9" s="2" t="s">
        <v>40</v>
      </c>
      <c r="H9" s="2" t="s">
        <v>43</v>
      </c>
      <c r="I9" s="2" t="s">
        <v>45</v>
      </c>
    </row>
    <row r="10" spans="1:9">
      <c r="A10" s="1" t="s">
        <v>353</v>
      </c>
      <c r="B10" s="3" t="s">
        <v>354</v>
      </c>
      <c r="C10" s="27">
        <f>A6</f>
        <v>42369</v>
      </c>
      <c r="D10" s="17" t="s">
        <v>401</v>
      </c>
      <c r="E10" s="17"/>
      <c r="F10" s="3" t="s">
        <v>39</v>
      </c>
      <c r="G10" s="3" t="s">
        <v>41</v>
      </c>
      <c r="H10" s="33" t="s">
        <v>44</v>
      </c>
      <c r="I10" s="3" t="s">
        <v>46</v>
      </c>
    </row>
    <row r="11" spans="1:9">
      <c r="B11" s="2" t="s">
        <v>361</v>
      </c>
      <c r="C11" s="14" t="s">
        <v>362</v>
      </c>
      <c r="D11" s="2" t="s">
        <v>366</v>
      </c>
      <c r="E11" s="887"/>
      <c r="F11" s="2" t="s">
        <v>363</v>
      </c>
      <c r="G11" s="2" t="s">
        <v>364</v>
      </c>
      <c r="H11" s="2" t="s">
        <v>379</v>
      </c>
      <c r="I11" s="2" t="s">
        <v>380</v>
      </c>
    </row>
    <row r="12" spans="1:9">
      <c r="C12" s="14" t="s">
        <v>365</v>
      </c>
      <c r="D12" s="2" t="s">
        <v>365</v>
      </c>
      <c r="E12" s="887"/>
      <c r="F12" s="2" t="s">
        <v>365</v>
      </c>
      <c r="G12" s="2" t="s">
        <v>42</v>
      </c>
      <c r="H12" s="2" t="s">
        <v>42</v>
      </c>
      <c r="I12" s="2" t="s">
        <v>42</v>
      </c>
    </row>
    <row r="13" spans="1:9">
      <c r="A13">
        <v>1</v>
      </c>
      <c r="B13" s="37" t="s">
        <v>423</v>
      </c>
      <c r="C13"/>
      <c r="G13" s="29"/>
      <c r="H13" s="29"/>
      <c r="I13" s="29"/>
    </row>
    <row r="14" spans="1:9">
      <c r="A14">
        <f>A13+1</f>
        <v>2</v>
      </c>
      <c r="B14" s="24" t="s">
        <v>378</v>
      </c>
      <c r="C14" s="5">
        <f>'F-3'!G16</f>
        <v>16182986</v>
      </c>
      <c r="D14" s="483">
        <f>'F-3'!F17</f>
        <v>9500000</v>
      </c>
      <c r="E14" s="483" t="s">
        <v>1084</v>
      </c>
      <c r="F14" s="5">
        <f>C14+D14</f>
        <v>25682986</v>
      </c>
      <c r="G14" s="29">
        <f>+F14/F16</f>
        <v>0.31956069486676081</v>
      </c>
      <c r="H14" s="47">
        <f>'F-3'!Q20</f>
        <v>3.3015031000238566E-2</v>
      </c>
      <c r="I14" s="29">
        <f>+ROUND(G14*H14,4)</f>
        <v>1.06E-2</v>
      </c>
    </row>
    <row r="15" spans="1:9">
      <c r="A15">
        <f>A14+1</f>
        <v>3</v>
      </c>
      <c r="B15" s="24" t="s">
        <v>349</v>
      </c>
      <c r="C15" s="301">
        <f>L!D58</f>
        <v>63470829</v>
      </c>
      <c r="D15" s="365">
        <v>-8784149.9800000004</v>
      </c>
      <c r="E15" s="365" t="s">
        <v>1085</v>
      </c>
      <c r="F15" s="5">
        <f>+C15+D15</f>
        <v>54686679.019999996</v>
      </c>
      <c r="G15" s="29">
        <f>+F15/F16</f>
        <v>0.68043930513323914</v>
      </c>
      <c r="H15" s="886">
        <v>0.14960000000000001</v>
      </c>
      <c r="I15" s="29">
        <f>ROUND(+G15*H15,4)</f>
        <v>0.1018</v>
      </c>
    </row>
    <row r="16" spans="1:9" ht="13.5" thickBot="1">
      <c r="A16">
        <f>A15+1</f>
        <v>4</v>
      </c>
      <c r="B16" s="24" t="s">
        <v>356</v>
      </c>
      <c r="C16" s="69">
        <f>SUM(C14:C15)</f>
        <v>79653815</v>
      </c>
      <c r="D16" s="69">
        <f>SUM(D14:D15)</f>
        <v>715850.01999999955</v>
      </c>
      <c r="E16" s="69"/>
      <c r="F16" s="69">
        <f>SUM(F14:F15)</f>
        <v>80369665.019999996</v>
      </c>
      <c r="G16" s="38">
        <f>SUM(G13:G15)</f>
        <v>1</v>
      </c>
      <c r="H16" s="101"/>
      <c r="I16" s="38">
        <f>SUM(I13:I15)</f>
        <v>0.1124</v>
      </c>
    </row>
    <row r="17" spans="1:9" ht="13.5" thickTop="1">
      <c r="D17" s="5"/>
      <c r="E17" s="5"/>
      <c r="F17" s="5"/>
      <c r="G17" s="29"/>
      <c r="H17" s="29"/>
      <c r="I17" s="29"/>
    </row>
    <row r="18" spans="1:9">
      <c r="C18" s="302"/>
      <c r="D18" s="5"/>
      <c r="E18" s="5"/>
      <c r="F18" s="5"/>
      <c r="G18" s="29"/>
      <c r="H18" s="29"/>
      <c r="I18" s="29"/>
    </row>
    <row r="19" spans="1:9" ht="15.75">
      <c r="A19" t="s">
        <v>1084</v>
      </c>
      <c r="B19" s="25" t="s">
        <v>1086</v>
      </c>
      <c r="C19" s="302"/>
      <c r="D19" s="5"/>
      <c r="E19" s="5"/>
      <c r="F19" s="5"/>
      <c r="G19" s="29"/>
      <c r="H19" s="29"/>
      <c r="I19" s="29"/>
    </row>
    <row r="20" spans="1:9" ht="15.75">
      <c r="B20" s="25"/>
      <c r="C20" s="302"/>
      <c r="D20" s="5"/>
      <c r="E20" s="5"/>
      <c r="F20" s="5"/>
      <c r="G20" s="29"/>
      <c r="H20" s="29"/>
      <c r="I20" s="29"/>
    </row>
    <row r="21" spans="1:9" ht="15.75">
      <c r="A21" t="s">
        <v>1085</v>
      </c>
      <c r="B21" s="25" t="s">
        <v>1087</v>
      </c>
      <c r="C21" s="302"/>
      <c r="D21" s="5"/>
      <c r="E21" s="5"/>
      <c r="F21" s="5"/>
      <c r="G21" s="29"/>
      <c r="H21" s="29"/>
      <c r="I21" s="29"/>
    </row>
    <row r="22" spans="1:9" ht="15.75">
      <c r="B22" s="25"/>
      <c r="C22" s="302"/>
      <c r="D22" s="5"/>
      <c r="E22" s="5"/>
      <c r="F22" s="5"/>
      <c r="G22" s="29"/>
      <c r="H22" s="29"/>
      <c r="I22" s="29"/>
    </row>
    <row r="23" spans="1:9" ht="15.75">
      <c r="B23" s="25"/>
      <c r="C23" s="302"/>
      <c r="D23" s="5"/>
      <c r="E23" s="5"/>
      <c r="F23" s="5"/>
      <c r="G23" s="29"/>
      <c r="H23" s="29"/>
      <c r="I23" s="29"/>
    </row>
    <row r="24" spans="1:9" ht="15.75">
      <c r="B24" s="25"/>
      <c r="C24" s="302"/>
      <c r="D24" s="5"/>
      <c r="E24" s="5"/>
      <c r="F24" s="5"/>
      <c r="G24" s="29"/>
      <c r="H24" s="29"/>
      <c r="I24" s="29"/>
    </row>
    <row r="25" spans="1:9" ht="15.75">
      <c r="B25" s="25"/>
      <c r="C25" s="302"/>
      <c r="D25" s="5"/>
      <c r="E25" s="5"/>
      <c r="F25" s="5"/>
      <c r="G25" s="29"/>
      <c r="H25" s="29"/>
      <c r="I25" s="29"/>
    </row>
    <row r="26" spans="1:9" ht="15.75">
      <c r="B26" s="25"/>
      <c r="C26" s="302"/>
      <c r="D26" s="5"/>
      <c r="E26" s="5"/>
      <c r="F26" s="5"/>
      <c r="G26" s="29"/>
      <c r="H26" s="29"/>
      <c r="I26" s="29"/>
    </row>
    <row r="27" spans="1:9" ht="15.75">
      <c r="B27" s="25"/>
      <c r="C27" s="302"/>
      <c r="D27" s="5"/>
      <c r="E27" s="5"/>
      <c r="F27" s="5"/>
      <c r="G27" s="29"/>
      <c r="H27" s="29"/>
      <c r="I27" s="29"/>
    </row>
    <row r="28" spans="1:9" ht="15.75">
      <c r="B28" s="25"/>
      <c r="C28" s="302"/>
      <c r="D28" s="5"/>
      <c r="E28" s="5"/>
      <c r="F28" s="5"/>
      <c r="G28" s="29"/>
      <c r="H28" s="29"/>
      <c r="I28" s="29"/>
    </row>
    <row r="29" spans="1:9">
      <c r="D29" s="5"/>
      <c r="E29" s="5"/>
      <c r="F29" s="5"/>
      <c r="G29" s="5"/>
    </row>
    <row r="30" spans="1:9">
      <c r="D30" s="5"/>
      <c r="E30" s="5"/>
      <c r="F30" s="5"/>
      <c r="G30" s="5"/>
    </row>
    <row r="31" spans="1:9">
      <c r="D31" s="5"/>
      <c r="E31" s="5"/>
      <c r="F31" s="5"/>
      <c r="G31" s="5"/>
    </row>
    <row r="32" spans="1:9">
      <c r="D32" s="5"/>
      <c r="E32" s="5"/>
      <c r="F32" s="5"/>
      <c r="G32" s="5"/>
    </row>
    <row r="33" spans="4:7">
      <c r="D33" s="5"/>
      <c r="E33" s="5"/>
      <c r="F33" s="5"/>
      <c r="G33" s="5"/>
    </row>
    <row r="34" spans="4:7">
      <c r="D34" s="5"/>
      <c r="E34" s="5"/>
      <c r="F34" s="5"/>
      <c r="G34" s="5"/>
    </row>
    <row r="35" spans="4:7">
      <c r="D35" s="5"/>
      <c r="E35" s="5"/>
      <c r="F35" s="5"/>
      <c r="G35" s="5"/>
    </row>
    <row r="36" spans="4:7">
      <c r="D36" s="5"/>
      <c r="E36" s="5"/>
      <c r="F36" s="5"/>
      <c r="G36" s="5"/>
    </row>
    <row r="37" spans="4:7">
      <c r="D37" s="5"/>
      <c r="E37" s="5"/>
      <c r="F37" s="5"/>
      <c r="G37" s="5"/>
    </row>
    <row r="38" spans="4:7">
      <c r="D38" s="5"/>
      <c r="E38" s="5"/>
      <c r="F38" s="5"/>
      <c r="G38" s="5"/>
    </row>
    <row r="39" spans="4:7">
      <c r="D39" s="5"/>
      <c r="E39" s="5"/>
      <c r="F39" s="5"/>
      <c r="G39" s="5"/>
    </row>
    <row r="40" spans="4:7">
      <c r="D40" s="5"/>
      <c r="E40" s="5"/>
      <c r="F40" s="5"/>
      <c r="G40" s="5"/>
    </row>
    <row r="41" spans="4:7">
      <c r="D41" s="5"/>
      <c r="E41" s="5"/>
      <c r="F41" s="5"/>
      <c r="G41" s="5"/>
    </row>
    <row r="42" spans="4:7">
      <c r="D42" s="5"/>
      <c r="E42" s="5"/>
      <c r="F42" s="5"/>
      <c r="G42" s="5"/>
    </row>
    <row r="43" spans="4:7">
      <c r="D43" s="5"/>
      <c r="E43" s="5"/>
      <c r="F43" s="5"/>
      <c r="G43" s="5"/>
    </row>
    <row r="44" spans="4:7">
      <c r="D44" s="5"/>
      <c r="E44" s="5"/>
      <c r="F44" s="5"/>
      <c r="G44" s="5"/>
    </row>
    <row r="45" spans="4:7">
      <c r="D45" s="5"/>
      <c r="E45" s="5"/>
      <c r="F45" s="5"/>
      <c r="G45" s="5"/>
    </row>
    <row r="46" spans="4:7">
      <c r="D46" s="5"/>
      <c r="E46" s="5"/>
      <c r="F46" s="5"/>
      <c r="G46" s="5"/>
    </row>
    <row r="47" spans="4:7">
      <c r="D47" s="5"/>
      <c r="E47" s="5"/>
      <c r="F47" s="5"/>
      <c r="G47" s="5"/>
    </row>
    <row r="48" spans="4:7">
      <c r="D48" s="5"/>
      <c r="E48" s="5"/>
      <c r="F48" s="5"/>
      <c r="G48" s="5"/>
    </row>
    <row r="49" spans="4:7">
      <c r="D49" s="5"/>
      <c r="E49" s="5"/>
      <c r="F49" s="5"/>
      <c r="G49" s="5"/>
    </row>
    <row r="50" spans="4:7">
      <c r="D50" s="5"/>
      <c r="E50" s="5"/>
      <c r="F50" s="5"/>
      <c r="G50" s="5"/>
    </row>
    <row r="51" spans="4:7">
      <c r="D51" s="5"/>
      <c r="E51" s="5"/>
      <c r="F51" s="5"/>
      <c r="G51" s="5"/>
    </row>
    <row r="52" spans="4:7">
      <c r="D52" s="5"/>
      <c r="E52" s="5"/>
      <c r="F52" s="5"/>
      <c r="G52" s="5"/>
    </row>
    <row r="53" spans="4:7">
      <c r="D53" s="5"/>
      <c r="E53" s="5"/>
      <c r="F53" s="5"/>
      <c r="G53" s="5"/>
    </row>
    <row r="54" spans="4:7">
      <c r="D54" s="5"/>
      <c r="E54" s="5"/>
      <c r="F54" s="5"/>
      <c r="G54" s="5"/>
    </row>
    <row r="55" spans="4:7">
      <c r="D55" s="5"/>
      <c r="E55" s="5"/>
      <c r="F55" s="5"/>
      <c r="G55" s="5"/>
    </row>
    <row r="56" spans="4:7">
      <c r="D56" s="5"/>
      <c r="E56" s="5"/>
      <c r="F56" s="5"/>
      <c r="G56" s="5"/>
    </row>
    <row r="57" spans="4:7">
      <c r="D57" s="5"/>
      <c r="E57" s="5"/>
      <c r="F57" s="5"/>
      <c r="G57" s="5"/>
    </row>
    <row r="58" spans="4:7">
      <c r="D58" s="5"/>
      <c r="E58" s="5"/>
      <c r="F58" s="5"/>
      <c r="G58" s="5"/>
    </row>
    <row r="59" spans="4:7">
      <c r="D59" s="5"/>
      <c r="E59" s="5"/>
      <c r="F59" s="5"/>
      <c r="G59" s="5"/>
    </row>
    <row r="60" spans="4:7">
      <c r="D60" s="5"/>
      <c r="E60" s="5"/>
      <c r="F60" s="5"/>
      <c r="G60" s="5"/>
    </row>
    <row r="61" spans="4:7">
      <c r="D61" s="5"/>
      <c r="E61" s="5"/>
      <c r="F61" s="5"/>
      <c r="G61" s="5"/>
    </row>
    <row r="62" spans="4:7">
      <c r="D62" s="5"/>
      <c r="E62" s="5"/>
      <c r="F62" s="5"/>
      <c r="G62" s="5"/>
    </row>
    <row r="63" spans="4:7">
      <c r="D63" s="5"/>
      <c r="E63" s="5"/>
      <c r="F63" s="5"/>
      <c r="G63" s="5"/>
    </row>
    <row r="64" spans="4:7">
      <c r="D64" s="5"/>
      <c r="E64" s="5"/>
      <c r="F64" s="5"/>
      <c r="G64" s="5"/>
    </row>
    <row r="65" spans="4:7">
      <c r="D65" s="5"/>
      <c r="E65" s="5"/>
      <c r="F65" s="5"/>
      <c r="G65" s="5"/>
    </row>
    <row r="66" spans="4:7">
      <c r="D66" s="5"/>
      <c r="E66" s="5"/>
      <c r="F66" s="5"/>
      <c r="G66" s="5"/>
    </row>
    <row r="67" spans="4:7">
      <c r="D67" s="5"/>
      <c r="E67" s="5"/>
      <c r="F67" s="5"/>
      <c r="G67" s="5"/>
    </row>
    <row r="68" spans="4:7">
      <c r="D68" s="5"/>
      <c r="E68" s="5"/>
      <c r="F68" s="5"/>
      <c r="G68" s="5"/>
    </row>
    <row r="69" spans="4:7">
      <c r="D69" s="5"/>
      <c r="E69" s="5"/>
      <c r="F69" s="5"/>
      <c r="G69" s="5"/>
    </row>
    <row r="70" spans="4:7">
      <c r="D70" s="5"/>
      <c r="E70" s="5"/>
      <c r="F70" s="5"/>
      <c r="G70" s="5"/>
    </row>
    <row r="71" spans="4:7">
      <c r="D71" s="5"/>
      <c r="E71" s="5"/>
      <c r="F71" s="5"/>
      <c r="G71" s="5"/>
    </row>
    <row r="72" spans="4:7">
      <c r="D72" s="5"/>
      <c r="E72" s="5"/>
      <c r="F72" s="5"/>
      <c r="G72" s="5"/>
    </row>
    <row r="73" spans="4:7">
      <c r="D73" s="5"/>
      <c r="E73" s="5"/>
      <c r="F73" s="5"/>
      <c r="G73" s="5"/>
    </row>
    <row r="74" spans="4:7">
      <c r="D74" s="5"/>
      <c r="E74" s="5"/>
      <c r="F74" s="5"/>
      <c r="G74" s="5"/>
    </row>
    <row r="75" spans="4:7">
      <c r="D75" s="5"/>
      <c r="E75" s="5"/>
      <c r="F75" s="5"/>
      <c r="G75" s="5"/>
    </row>
    <row r="76" spans="4:7">
      <c r="D76" s="5"/>
      <c r="E76" s="5"/>
      <c r="F76" s="5"/>
      <c r="G76" s="5"/>
    </row>
    <row r="77" spans="4:7">
      <c r="D77" s="5"/>
      <c r="E77" s="5"/>
      <c r="F77" s="5"/>
      <c r="G77" s="5"/>
    </row>
    <row r="78" spans="4:7">
      <c r="D78" s="5"/>
      <c r="E78" s="5"/>
      <c r="F78" s="5"/>
      <c r="G78" s="5"/>
    </row>
    <row r="79" spans="4:7">
      <c r="D79" s="5"/>
      <c r="E79" s="5"/>
      <c r="F79" s="5"/>
      <c r="G79" s="5"/>
    </row>
    <row r="80" spans="4:7">
      <c r="D80" s="5"/>
      <c r="E80" s="5"/>
      <c r="F80" s="5"/>
      <c r="G80" s="5"/>
    </row>
    <row r="81" spans="4:7">
      <c r="D81" s="5"/>
      <c r="E81" s="5"/>
      <c r="F81" s="5"/>
      <c r="G81" s="5"/>
    </row>
    <row r="82" spans="4:7">
      <c r="D82" s="5"/>
      <c r="E82" s="5"/>
      <c r="F82" s="5"/>
      <c r="G82" s="5"/>
    </row>
    <row r="83" spans="4:7">
      <c r="D83" s="5"/>
      <c r="E83" s="5"/>
      <c r="F83" s="5"/>
      <c r="G83" s="5"/>
    </row>
    <row r="84" spans="4:7">
      <c r="D84" s="5"/>
      <c r="E84" s="5"/>
      <c r="F84" s="5"/>
      <c r="G84" s="5"/>
    </row>
    <row r="85" spans="4:7">
      <c r="D85" s="5"/>
      <c r="E85" s="5"/>
      <c r="F85" s="5"/>
      <c r="G85" s="5"/>
    </row>
    <row r="86" spans="4:7">
      <c r="D86" s="5"/>
      <c r="E86" s="5"/>
      <c r="F86" s="5"/>
      <c r="G86" s="5"/>
    </row>
    <row r="87" spans="4:7">
      <c r="D87" s="5"/>
      <c r="E87" s="5"/>
      <c r="F87" s="5"/>
      <c r="G87" s="5"/>
    </row>
    <row r="88" spans="4:7">
      <c r="D88" s="5"/>
      <c r="E88" s="5"/>
      <c r="F88" s="5"/>
      <c r="G88" s="5"/>
    </row>
    <row r="89" spans="4:7">
      <c r="D89" s="5"/>
      <c r="E89" s="5"/>
      <c r="F89" s="5"/>
      <c r="G89" s="5"/>
    </row>
    <row r="90" spans="4:7">
      <c r="D90" s="5"/>
      <c r="E90" s="5"/>
      <c r="F90" s="5"/>
      <c r="G90" s="5"/>
    </row>
    <row r="91" spans="4:7">
      <c r="D91" s="5"/>
      <c r="E91" s="5"/>
      <c r="F91" s="5"/>
      <c r="G91" s="5"/>
    </row>
    <row r="92" spans="4:7">
      <c r="D92" s="5"/>
      <c r="E92" s="5"/>
      <c r="F92" s="5"/>
      <c r="G92" s="5"/>
    </row>
    <row r="93" spans="4:7">
      <c r="D93" s="5"/>
      <c r="E93" s="5"/>
      <c r="F93" s="5"/>
      <c r="G93" s="5"/>
    </row>
    <row r="94" spans="4:7">
      <c r="D94" s="5"/>
      <c r="E94" s="5"/>
      <c r="F94" s="5"/>
      <c r="G94" s="5"/>
    </row>
    <row r="95" spans="4:7">
      <c r="D95" s="5"/>
      <c r="E95" s="5"/>
      <c r="F95" s="5"/>
      <c r="G95" s="5"/>
    </row>
    <row r="96" spans="4:7">
      <c r="D96" s="5"/>
      <c r="E96" s="5"/>
      <c r="F96" s="5"/>
      <c r="G96" s="5"/>
    </row>
    <row r="97" spans="4:7">
      <c r="D97" s="5"/>
      <c r="E97" s="5"/>
      <c r="F97" s="5"/>
      <c r="G97" s="5"/>
    </row>
    <row r="98" spans="4:7">
      <c r="D98" s="5"/>
      <c r="E98" s="5"/>
      <c r="F98" s="5"/>
      <c r="G98" s="5"/>
    </row>
    <row r="99" spans="4:7">
      <c r="D99" s="5"/>
      <c r="E99" s="5"/>
      <c r="F99" s="5"/>
      <c r="G99" s="5"/>
    </row>
    <row r="100" spans="4:7">
      <c r="D100" s="5"/>
      <c r="E100" s="5"/>
      <c r="F100" s="5"/>
      <c r="G100" s="5"/>
    </row>
    <row r="101" spans="4:7">
      <c r="D101" s="5"/>
      <c r="E101" s="5"/>
      <c r="F101" s="5"/>
      <c r="G101" s="5"/>
    </row>
    <row r="102" spans="4:7">
      <c r="D102" s="5"/>
      <c r="E102" s="5"/>
      <c r="F102" s="5"/>
      <c r="G102" s="5"/>
    </row>
    <row r="103" spans="4:7">
      <c r="D103" s="5"/>
      <c r="E103" s="5"/>
      <c r="F103" s="5"/>
      <c r="G103" s="5"/>
    </row>
    <row r="104" spans="4:7">
      <c r="D104" s="5"/>
      <c r="E104" s="5"/>
      <c r="F104" s="5"/>
      <c r="G104" s="5"/>
    </row>
    <row r="105" spans="4:7">
      <c r="D105" s="5"/>
      <c r="E105" s="5"/>
      <c r="F105" s="5"/>
      <c r="G105" s="5"/>
    </row>
    <row r="106" spans="4:7">
      <c r="D106" s="5"/>
      <c r="E106" s="5"/>
      <c r="F106" s="5"/>
      <c r="G106" s="5"/>
    </row>
    <row r="107" spans="4:7">
      <c r="D107" s="5"/>
      <c r="E107" s="5"/>
      <c r="F107" s="5"/>
      <c r="G107" s="5"/>
    </row>
    <row r="108" spans="4:7">
      <c r="D108" s="5"/>
      <c r="E108" s="5"/>
      <c r="F108" s="5"/>
      <c r="G108" s="5"/>
    </row>
    <row r="109" spans="4:7">
      <c r="D109" s="5"/>
      <c r="E109" s="5"/>
      <c r="F109" s="5"/>
      <c r="G109" s="5"/>
    </row>
    <row r="110" spans="4:7">
      <c r="D110" s="5"/>
      <c r="E110" s="5"/>
      <c r="F110" s="5"/>
      <c r="G110" s="5"/>
    </row>
    <row r="111" spans="4:7">
      <c r="D111" s="5"/>
      <c r="E111" s="5"/>
      <c r="F111" s="5"/>
      <c r="G111" s="5"/>
    </row>
    <row r="112" spans="4:7">
      <c r="D112" s="5"/>
      <c r="E112" s="5"/>
      <c r="F112" s="5"/>
      <c r="G112" s="5"/>
    </row>
    <row r="113" spans="4:7">
      <c r="D113" s="5"/>
      <c r="E113" s="5"/>
      <c r="F113" s="5"/>
      <c r="G113" s="5"/>
    </row>
    <row r="114" spans="4:7">
      <c r="D114" s="5"/>
      <c r="E114" s="5"/>
      <c r="F114" s="5"/>
      <c r="G114" s="5"/>
    </row>
    <row r="115" spans="4:7">
      <c r="D115" s="5"/>
      <c r="E115" s="5"/>
      <c r="F115" s="5"/>
      <c r="G115" s="5"/>
    </row>
    <row r="116" spans="4:7">
      <c r="D116" s="5"/>
      <c r="E116" s="5"/>
      <c r="F116" s="5"/>
      <c r="G116" s="5"/>
    </row>
    <row r="117" spans="4:7">
      <c r="D117" s="5"/>
      <c r="E117" s="5"/>
      <c r="F117" s="5"/>
      <c r="G117" s="5"/>
    </row>
    <row r="118" spans="4:7">
      <c r="D118" s="5"/>
      <c r="E118" s="5"/>
      <c r="F118" s="5"/>
      <c r="G118" s="5"/>
    </row>
    <row r="119" spans="4:7">
      <c r="D119" s="5"/>
      <c r="E119" s="5"/>
      <c r="F119" s="5"/>
      <c r="G119" s="5"/>
    </row>
    <row r="120" spans="4:7">
      <c r="D120" s="5"/>
      <c r="E120" s="5"/>
      <c r="F120" s="5"/>
      <c r="G120" s="5"/>
    </row>
    <row r="121" spans="4:7">
      <c r="D121" s="5"/>
      <c r="E121" s="5"/>
      <c r="F121" s="5"/>
      <c r="G121" s="5"/>
    </row>
    <row r="122" spans="4:7">
      <c r="D122" s="5"/>
      <c r="E122" s="5"/>
      <c r="F122" s="5"/>
      <c r="G122" s="5"/>
    </row>
    <row r="123" spans="4:7">
      <c r="D123" s="5"/>
      <c r="E123" s="5"/>
      <c r="F123" s="5"/>
      <c r="G123" s="5"/>
    </row>
    <row r="124" spans="4:7">
      <c r="D124" s="5"/>
      <c r="E124" s="5"/>
      <c r="F124" s="5"/>
      <c r="G124" s="5"/>
    </row>
    <row r="125" spans="4:7">
      <c r="D125" s="5"/>
      <c r="E125" s="5"/>
      <c r="F125" s="5"/>
      <c r="G125" s="5"/>
    </row>
    <row r="126" spans="4:7">
      <c r="D126" s="5"/>
      <c r="E126" s="5"/>
      <c r="F126" s="5"/>
      <c r="G126" s="5"/>
    </row>
    <row r="127" spans="4:7">
      <c r="D127" s="5"/>
      <c r="E127" s="5"/>
      <c r="F127" s="5"/>
      <c r="G127" s="5"/>
    </row>
    <row r="128" spans="4:7">
      <c r="D128" s="5"/>
      <c r="E128" s="5"/>
      <c r="F128" s="5"/>
      <c r="G128" s="5"/>
    </row>
    <row r="129" spans="4:7">
      <c r="D129" s="5"/>
      <c r="E129" s="5"/>
      <c r="F129" s="5"/>
      <c r="G129" s="5"/>
    </row>
    <row r="130" spans="4:7">
      <c r="D130" s="5"/>
      <c r="E130" s="5"/>
      <c r="F130" s="5"/>
      <c r="G130" s="5"/>
    </row>
    <row r="131" spans="4:7">
      <c r="D131" s="5"/>
      <c r="E131" s="5"/>
      <c r="F131" s="5"/>
      <c r="G131" s="5"/>
    </row>
    <row r="132" spans="4:7">
      <c r="D132" s="5"/>
      <c r="E132" s="5"/>
      <c r="F132" s="5"/>
      <c r="G132" s="5"/>
    </row>
    <row r="133" spans="4:7">
      <c r="D133" s="5"/>
      <c r="E133" s="5"/>
      <c r="F133" s="5"/>
      <c r="G133" s="5"/>
    </row>
    <row r="134" spans="4:7">
      <c r="D134" s="5"/>
      <c r="E134" s="5"/>
      <c r="F134" s="5"/>
      <c r="G134" s="5"/>
    </row>
    <row r="135" spans="4:7">
      <c r="D135" s="5"/>
      <c r="E135" s="5"/>
      <c r="F135" s="5"/>
      <c r="G135" s="5"/>
    </row>
    <row r="136" spans="4:7">
      <c r="D136" s="5"/>
      <c r="E136" s="5"/>
      <c r="F136" s="5"/>
      <c r="G136" s="5"/>
    </row>
    <row r="137" spans="4:7">
      <c r="D137" s="5"/>
      <c r="E137" s="5"/>
      <c r="F137" s="5"/>
      <c r="G137" s="5"/>
    </row>
    <row r="138" spans="4:7">
      <c r="D138" s="5"/>
      <c r="E138" s="5"/>
      <c r="F138" s="5"/>
      <c r="G138" s="5"/>
    </row>
    <row r="139" spans="4:7">
      <c r="D139" s="5"/>
      <c r="E139" s="5"/>
      <c r="F139" s="5"/>
      <c r="G139" s="5"/>
    </row>
    <row r="140" spans="4:7">
      <c r="D140" s="5"/>
      <c r="E140" s="5"/>
      <c r="F140" s="5"/>
      <c r="G140" s="5"/>
    </row>
    <row r="141" spans="4:7">
      <c r="D141" s="5"/>
      <c r="E141" s="5"/>
      <c r="F141" s="5"/>
      <c r="G141" s="5"/>
    </row>
    <row r="142" spans="4:7">
      <c r="D142" s="5"/>
      <c r="E142" s="5"/>
      <c r="F142" s="5"/>
      <c r="G142" s="5"/>
    </row>
    <row r="143" spans="4:7">
      <c r="D143" s="5"/>
      <c r="E143" s="5"/>
      <c r="F143" s="5"/>
      <c r="G143" s="5"/>
    </row>
    <row r="144" spans="4:7">
      <c r="D144" s="5"/>
      <c r="E144" s="5"/>
      <c r="F144" s="5"/>
      <c r="G144" s="5"/>
    </row>
    <row r="145" spans="4:7">
      <c r="D145" s="5"/>
      <c r="E145" s="5"/>
      <c r="F145" s="5"/>
      <c r="G145" s="5"/>
    </row>
    <row r="146" spans="4:7">
      <c r="D146" s="5"/>
      <c r="E146" s="5"/>
      <c r="F146" s="5"/>
      <c r="G146" s="5"/>
    </row>
    <row r="147" spans="4:7">
      <c r="D147" s="5"/>
      <c r="E147" s="5"/>
      <c r="F147" s="5"/>
      <c r="G147" s="5"/>
    </row>
    <row r="148" spans="4:7">
      <c r="D148" s="5"/>
      <c r="E148" s="5"/>
      <c r="F148" s="5"/>
      <c r="G148" s="5"/>
    </row>
    <row r="149" spans="4:7">
      <c r="D149" s="5"/>
      <c r="E149" s="5"/>
      <c r="F149" s="5"/>
      <c r="G149" s="5"/>
    </row>
    <row r="150" spans="4:7">
      <c r="D150" s="5"/>
      <c r="E150" s="5"/>
      <c r="F150" s="5"/>
      <c r="G150" s="5"/>
    </row>
    <row r="151" spans="4:7">
      <c r="D151" s="5"/>
      <c r="E151" s="5"/>
      <c r="F151" s="5"/>
      <c r="G151" s="5"/>
    </row>
    <row r="152" spans="4:7">
      <c r="D152" s="5"/>
      <c r="E152" s="5"/>
      <c r="F152" s="5"/>
      <c r="G152" s="5"/>
    </row>
    <row r="153" spans="4:7">
      <c r="D153" s="5"/>
      <c r="E153" s="5"/>
      <c r="F153" s="5"/>
      <c r="G153" s="5"/>
    </row>
    <row r="154" spans="4:7">
      <c r="D154" s="5"/>
      <c r="E154" s="5"/>
      <c r="F154" s="5"/>
      <c r="G154" s="5"/>
    </row>
    <row r="155" spans="4:7">
      <c r="D155" s="5"/>
      <c r="E155" s="5"/>
      <c r="F155" s="5"/>
      <c r="G155" s="5"/>
    </row>
    <row r="156" spans="4:7">
      <c r="D156" s="5"/>
      <c r="E156" s="5"/>
      <c r="F156" s="5"/>
      <c r="G156" s="5"/>
    </row>
    <row r="157" spans="4:7">
      <c r="D157" s="5"/>
      <c r="E157" s="5"/>
      <c r="F157" s="5"/>
      <c r="G157" s="5"/>
    </row>
    <row r="158" spans="4:7">
      <c r="D158" s="5"/>
      <c r="E158" s="5"/>
      <c r="F158" s="5"/>
      <c r="G158" s="5"/>
    </row>
    <row r="159" spans="4:7">
      <c r="D159" s="5"/>
      <c r="E159" s="5"/>
      <c r="F159" s="5"/>
      <c r="G159" s="5"/>
    </row>
    <row r="160" spans="4:7">
      <c r="D160" s="5"/>
      <c r="E160" s="5"/>
      <c r="F160" s="5"/>
      <c r="G160" s="5"/>
    </row>
    <row r="161" spans="4:7">
      <c r="D161" s="5"/>
      <c r="E161" s="5"/>
      <c r="F161" s="5"/>
      <c r="G161" s="5"/>
    </row>
    <row r="162" spans="4:7">
      <c r="D162" s="5"/>
      <c r="E162" s="5"/>
      <c r="F162" s="5"/>
      <c r="G162" s="5"/>
    </row>
    <row r="163" spans="4:7">
      <c r="D163" s="5"/>
      <c r="E163" s="5"/>
      <c r="F163" s="5"/>
      <c r="G163" s="5"/>
    </row>
    <row r="164" spans="4:7">
      <c r="D164" s="5"/>
      <c r="E164" s="5"/>
      <c r="F164" s="5"/>
      <c r="G164" s="5"/>
    </row>
    <row r="165" spans="4:7">
      <c r="D165" s="5"/>
      <c r="E165" s="5"/>
      <c r="F165" s="5"/>
      <c r="G165" s="5"/>
    </row>
    <row r="166" spans="4:7">
      <c r="D166" s="5"/>
      <c r="E166" s="5"/>
      <c r="F166" s="5"/>
      <c r="G166" s="5"/>
    </row>
    <row r="167" spans="4:7">
      <c r="D167" s="5"/>
      <c r="E167" s="5"/>
      <c r="F167" s="5"/>
      <c r="G167" s="5"/>
    </row>
    <row r="168" spans="4:7">
      <c r="D168" s="5"/>
      <c r="E168" s="5"/>
      <c r="F168" s="5"/>
      <c r="G168" s="5"/>
    </row>
    <row r="169" spans="4:7">
      <c r="D169" s="5"/>
      <c r="E169" s="5"/>
      <c r="F169" s="5"/>
      <c r="G169" s="5"/>
    </row>
    <row r="170" spans="4:7">
      <c r="D170" s="5"/>
      <c r="E170" s="5"/>
      <c r="F170" s="5"/>
      <c r="G170" s="5"/>
    </row>
    <row r="171" spans="4:7">
      <c r="D171" s="5"/>
      <c r="E171" s="5"/>
      <c r="F171" s="5"/>
      <c r="G171" s="5"/>
    </row>
    <row r="172" spans="4:7">
      <c r="D172" s="5"/>
      <c r="E172" s="5"/>
      <c r="F172" s="5"/>
      <c r="G172" s="5"/>
    </row>
    <row r="173" spans="4:7">
      <c r="D173" s="5"/>
      <c r="E173" s="5"/>
      <c r="F173" s="5"/>
      <c r="G173" s="5"/>
    </row>
    <row r="174" spans="4:7">
      <c r="D174" s="5"/>
      <c r="E174" s="5"/>
      <c r="F174" s="5"/>
      <c r="G174" s="5"/>
    </row>
    <row r="175" spans="4:7">
      <c r="D175" s="5"/>
      <c r="E175" s="5"/>
      <c r="F175" s="5"/>
      <c r="G175" s="5"/>
    </row>
    <row r="176" spans="4:7">
      <c r="D176" s="5"/>
      <c r="E176" s="5"/>
      <c r="F176" s="5"/>
      <c r="G176" s="5"/>
    </row>
    <row r="177" spans="4:7">
      <c r="D177" s="5"/>
      <c r="E177" s="5"/>
      <c r="F177" s="5"/>
      <c r="G177" s="5"/>
    </row>
    <row r="178" spans="4:7">
      <c r="D178" s="5"/>
      <c r="E178" s="5"/>
      <c r="F178" s="5"/>
      <c r="G178" s="5"/>
    </row>
    <row r="179" spans="4:7">
      <c r="D179" s="5"/>
      <c r="E179" s="5"/>
      <c r="F179" s="5"/>
      <c r="G179" s="5"/>
    </row>
    <row r="180" spans="4:7">
      <c r="D180" s="5"/>
      <c r="E180" s="5"/>
      <c r="F180" s="5"/>
      <c r="G180" s="5"/>
    </row>
    <row r="181" spans="4:7">
      <c r="D181" s="5"/>
      <c r="E181" s="5"/>
      <c r="F181" s="5"/>
      <c r="G181" s="5"/>
    </row>
    <row r="182" spans="4:7">
      <c r="D182" s="5"/>
      <c r="E182" s="5"/>
      <c r="F182" s="5"/>
      <c r="G182" s="5"/>
    </row>
    <row r="183" spans="4:7">
      <c r="D183" s="5"/>
      <c r="E183" s="5"/>
      <c r="F183" s="5"/>
      <c r="G183" s="5"/>
    </row>
    <row r="184" spans="4:7">
      <c r="D184" s="5"/>
      <c r="E184" s="5"/>
      <c r="F184" s="5"/>
      <c r="G184" s="5"/>
    </row>
    <row r="185" spans="4:7">
      <c r="D185" s="5"/>
      <c r="E185" s="5"/>
      <c r="F185" s="5"/>
      <c r="G185" s="5"/>
    </row>
    <row r="186" spans="4:7">
      <c r="D186" s="5"/>
      <c r="E186" s="5"/>
      <c r="F186" s="5"/>
      <c r="G186" s="5"/>
    </row>
    <row r="187" spans="4:7">
      <c r="D187" s="5"/>
      <c r="E187" s="5"/>
      <c r="F187" s="5"/>
      <c r="G187" s="5"/>
    </row>
    <row r="188" spans="4:7">
      <c r="D188" s="5"/>
      <c r="E188" s="5"/>
      <c r="F188" s="5"/>
      <c r="G188" s="5"/>
    </row>
    <row r="189" spans="4:7">
      <c r="D189" s="5"/>
      <c r="E189" s="5"/>
      <c r="F189" s="5"/>
      <c r="G189" s="5"/>
    </row>
    <row r="190" spans="4:7">
      <c r="D190" s="5"/>
      <c r="E190" s="5"/>
      <c r="F190" s="5"/>
      <c r="G190" s="5"/>
    </row>
    <row r="191" spans="4:7">
      <c r="D191" s="5"/>
      <c r="E191" s="5"/>
      <c r="F191" s="5"/>
      <c r="G191" s="5"/>
    </row>
    <row r="192" spans="4:7">
      <c r="D192" s="5"/>
      <c r="E192" s="5"/>
      <c r="F192" s="5"/>
      <c r="G192" s="5"/>
    </row>
    <row r="193" spans="4:7">
      <c r="D193" s="5"/>
      <c r="E193" s="5"/>
      <c r="F193" s="5"/>
      <c r="G193" s="5"/>
    </row>
    <row r="194" spans="4:7">
      <c r="D194" s="5"/>
      <c r="E194" s="5"/>
      <c r="F194" s="5"/>
      <c r="G194" s="5"/>
    </row>
    <row r="195" spans="4:7">
      <c r="D195" s="5"/>
      <c r="E195" s="5"/>
      <c r="F195" s="5"/>
      <c r="G195" s="5"/>
    </row>
    <row r="196" spans="4:7">
      <c r="D196" s="5"/>
      <c r="E196" s="5"/>
      <c r="F196" s="5"/>
      <c r="G196" s="5"/>
    </row>
    <row r="197" spans="4:7">
      <c r="D197" s="5"/>
      <c r="E197" s="5"/>
      <c r="F197" s="5"/>
      <c r="G197" s="5"/>
    </row>
    <row r="198" spans="4:7">
      <c r="D198" s="5"/>
      <c r="E198" s="5"/>
      <c r="F198" s="5"/>
      <c r="G198" s="5"/>
    </row>
    <row r="199" spans="4:7">
      <c r="D199" s="5"/>
      <c r="E199" s="5"/>
      <c r="F199" s="5"/>
      <c r="G199" s="5"/>
    </row>
    <row r="200" spans="4:7">
      <c r="D200" s="5"/>
      <c r="E200" s="5"/>
      <c r="F200" s="5"/>
      <c r="G200" s="5"/>
    </row>
    <row r="201" spans="4:7">
      <c r="D201" s="5"/>
      <c r="E201" s="5"/>
      <c r="F201" s="5"/>
      <c r="G201" s="5"/>
    </row>
    <row r="202" spans="4:7">
      <c r="D202" s="5"/>
      <c r="E202" s="5"/>
      <c r="F202" s="5"/>
      <c r="G202" s="5"/>
    </row>
    <row r="203" spans="4:7">
      <c r="D203" s="5"/>
      <c r="E203" s="5"/>
      <c r="F203" s="5"/>
      <c r="G203" s="5"/>
    </row>
    <row r="204" spans="4:7">
      <c r="D204" s="5"/>
      <c r="E204" s="5"/>
      <c r="F204" s="5"/>
      <c r="G204" s="5"/>
    </row>
    <row r="205" spans="4:7">
      <c r="D205" s="5"/>
      <c r="E205" s="5"/>
      <c r="F205" s="5"/>
      <c r="G205" s="5"/>
    </row>
    <row r="206" spans="4:7">
      <c r="D206" s="5"/>
      <c r="E206" s="5"/>
      <c r="F206" s="5"/>
      <c r="G206" s="5"/>
    </row>
    <row r="207" spans="4:7">
      <c r="D207" s="5"/>
      <c r="E207" s="5"/>
      <c r="F207" s="5"/>
      <c r="G207" s="5"/>
    </row>
    <row r="208" spans="4:7">
      <c r="D208" s="5"/>
      <c r="E208" s="5"/>
      <c r="F208" s="5"/>
      <c r="G208" s="5"/>
    </row>
    <row r="209" spans="4:7">
      <c r="D209" s="5"/>
      <c r="E209" s="5"/>
      <c r="F209" s="5"/>
      <c r="G209" s="5"/>
    </row>
    <row r="210" spans="4:7">
      <c r="D210" s="5"/>
      <c r="E210" s="5"/>
      <c r="F210" s="5"/>
      <c r="G210" s="5"/>
    </row>
    <row r="211" spans="4:7">
      <c r="D211" s="5"/>
      <c r="E211" s="5"/>
      <c r="F211" s="5"/>
      <c r="G211" s="5"/>
    </row>
    <row r="212" spans="4:7">
      <c r="D212" s="5"/>
      <c r="E212" s="5"/>
      <c r="F212" s="5"/>
      <c r="G212" s="5"/>
    </row>
    <row r="213" spans="4:7">
      <c r="D213" s="5"/>
      <c r="E213" s="5"/>
      <c r="F213" s="5"/>
      <c r="G213" s="5"/>
    </row>
    <row r="214" spans="4:7">
      <c r="D214" s="5"/>
      <c r="E214" s="5"/>
      <c r="F214" s="5"/>
      <c r="G214" s="5"/>
    </row>
    <row r="215" spans="4:7">
      <c r="D215" s="5"/>
      <c r="E215" s="5"/>
      <c r="F215" s="5"/>
      <c r="G215" s="5"/>
    </row>
    <row r="216" spans="4:7">
      <c r="D216" s="5"/>
      <c r="E216" s="5"/>
      <c r="F216" s="5"/>
      <c r="G216" s="5"/>
    </row>
    <row r="217" spans="4:7">
      <c r="D217" s="5"/>
      <c r="E217" s="5"/>
      <c r="F217" s="5"/>
      <c r="G217" s="5"/>
    </row>
    <row r="218" spans="4:7">
      <c r="D218" s="5"/>
      <c r="E218" s="5"/>
      <c r="F218" s="5"/>
      <c r="G218" s="5"/>
    </row>
    <row r="219" spans="4:7">
      <c r="D219" s="5"/>
      <c r="E219" s="5"/>
      <c r="F219" s="5"/>
      <c r="G219" s="5"/>
    </row>
    <row r="220" spans="4:7">
      <c r="D220" s="5"/>
      <c r="E220" s="5"/>
      <c r="F220" s="5"/>
      <c r="G220" s="5"/>
    </row>
    <row r="221" spans="4:7">
      <c r="D221" s="5"/>
      <c r="E221" s="5"/>
      <c r="F221" s="5"/>
      <c r="G221" s="5"/>
    </row>
    <row r="222" spans="4:7">
      <c r="D222" s="5"/>
      <c r="E222" s="5"/>
      <c r="F222" s="5"/>
      <c r="G222" s="5"/>
    </row>
    <row r="223" spans="4:7">
      <c r="D223" s="5"/>
      <c r="E223" s="5"/>
      <c r="F223" s="5"/>
      <c r="G223" s="5"/>
    </row>
    <row r="224" spans="4:7">
      <c r="D224" s="5"/>
      <c r="E224" s="5"/>
      <c r="F224" s="5"/>
      <c r="G224" s="5"/>
    </row>
    <row r="225" spans="4:7">
      <c r="D225" s="5"/>
      <c r="E225" s="5"/>
      <c r="F225" s="5"/>
      <c r="G225" s="5"/>
    </row>
    <row r="226" spans="4:7">
      <c r="D226" s="5"/>
      <c r="E226" s="5"/>
      <c r="F226" s="5"/>
      <c r="G226" s="5"/>
    </row>
    <row r="227" spans="4:7">
      <c r="D227" s="5"/>
      <c r="E227" s="5"/>
      <c r="F227" s="5"/>
      <c r="G227" s="5"/>
    </row>
    <row r="228" spans="4:7">
      <c r="D228" s="5"/>
      <c r="E228" s="5"/>
      <c r="F228" s="5"/>
      <c r="G228" s="5"/>
    </row>
    <row r="229" spans="4:7">
      <c r="D229" s="5"/>
      <c r="E229" s="5"/>
      <c r="F229" s="5"/>
      <c r="G229" s="5"/>
    </row>
    <row r="230" spans="4:7">
      <c r="D230" s="5"/>
      <c r="E230" s="5"/>
      <c r="F230" s="5"/>
      <c r="G230" s="5"/>
    </row>
    <row r="231" spans="4:7">
      <c r="D231" s="5"/>
      <c r="E231" s="5"/>
      <c r="F231" s="5"/>
      <c r="G231" s="5"/>
    </row>
    <row r="232" spans="4:7">
      <c r="D232" s="5"/>
      <c r="E232" s="5"/>
      <c r="F232" s="5"/>
      <c r="G232" s="5"/>
    </row>
    <row r="233" spans="4:7">
      <c r="D233" s="5"/>
      <c r="E233" s="5"/>
      <c r="F233" s="5"/>
      <c r="G233" s="5"/>
    </row>
    <row r="234" spans="4:7">
      <c r="D234" s="5"/>
      <c r="E234" s="5"/>
      <c r="F234" s="5"/>
      <c r="G234" s="5"/>
    </row>
    <row r="235" spans="4:7">
      <c r="D235" s="5"/>
      <c r="E235" s="5"/>
      <c r="F235" s="5"/>
      <c r="G235" s="5"/>
    </row>
    <row r="236" spans="4:7">
      <c r="D236" s="5"/>
      <c r="E236" s="5"/>
      <c r="F236" s="5"/>
      <c r="G236" s="5"/>
    </row>
    <row r="237" spans="4:7">
      <c r="D237" s="5"/>
      <c r="E237" s="5"/>
      <c r="F237" s="5"/>
      <c r="G237" s="5"/>
    </row>
    <row r="238" spans="4:7">
      <c r="D238" s="5"/>
      <c r="E238" s="5"/>
      <c r="F238" s="5"/>
      <c r="G238" s="5"/>
    </row>
    <row r="239" spans="4:7">
      <c r="D239" s="5"/>
      <c r="E239" s="5"/>
      <c r="F239" s="5"/>
      <c r="G239" s="5"/>
    </row>
    <row r="240" spans="4:7">
      <c r="D240" s="5"/>
      <c r="E240" s="5"/>
      <c r="F240" s="5"/>
      <c r="G240" s="5"/>
    </row>
    <row r="241" spans="4:7">
      <c r="D241" s="5"/>
      <c r="E241" s="5"/>
      <c r="F241" s="5"/>
      <c r="G241" s="5"/>
    </row>
    <row r="242" spans="4:7">
      <c r="D242" s="5"/>
      <c r="E242" s="5"/>
      <c r="F242" s="5"/>
      <c r="G242" s="5"/>
    </row>
    <row r="243" spans="4:7">
      <c r="D243" s="5"/>
      <c r="E243" s="5"/>
      <c r="F243" s="5"/>
      <c r="G243" s="5"/>
    </row>
    <row r="244" spans="4:7">
      <c r="D244" s="5"/>
      <c r="E244" s="5"/>
      <c r="F244" s="5"/>
      <c r="G244" s="5"/>
    </row>
    <row r="245" spans="4:7">
      <c r="D245" s="5"/>
      <c r="E245" s="5"/>
      <c r="F245" s="5"/>
      <c r="G245" s="5"/>
    </row>
    <row r="246" spans="4:7">
      <c r="D246" s="5"/>
      <c r="E246" s="5"/>
      <c r="F246" s="5"/>
      <c r="G246" s="5"/>
    </row>
    <row r="247" spans="4:7">
      <c r="D247" s="5"/>
      <c r="E247" s="5"/>
      <c r="F247" s="5"/>
      <c r="G247" s="5"/>
    </row>
    <row r="248" spans="4:7">
      <c r="D248" s="5"/>
      <c r="E248" s="5"/>
      <c r="F248" s="5"/>
      <c r="G248" s="5"/>
    </row>
    <row r="249" spans="4:7">
      <c r="D249" s="5"/>
      <c r="E249" s="5"/>
      <c r="F249" s="5"/>
      <c r="G249" s="5"/>
    </row>
    <row r="250" spans="4:7">
      <c r="D250" s="5"/>
      <c r="E250" s="5"/>
      <c r="F250" s="5"/>
      <c r="G250" s="5"/>
    </row>
    <row r="251" spans="4:7">
      <c r="D251" s="5"/>
      <c r="E251" s="5"/>
      <c r="F251" s="5"/>
      <c r="G251" s="5"/>
    </row>
    <row r="252" spans="4:7">
      <c r="D252" s="5"/>
      <c r="E252" s="5"/>
      <c r="F252" s="5"/>
      <c r="G252" s="5"/>
    </row>
    <row r="253" spans="4:7">
      <c r="D253" s="5"/>
      <c r="E253" s="5"/>
      <c r="F253" s="5"/>
      <c r="G253" s="5"/>
    </row>
    <row r="254" spans="4:7">
      <c r="D254" s="5"/>
      <c r="E254" s="5"/>
      <c r="F254" s="5"/>
      <c r="G254" s="5"/>
    </row>
    <row r="255" spans="4:7">
      <c r="D255" s="5"/>
      <c r="E255" s="5"/>
      <c r="F255" s="5"/>
      <c r="G255" s="5"/>
    </row>
    <row r="256" spans="4:7">
      <c r="D256" s="5"/>
      <c r="E256" s="5"/>
      <c r="F256" s="5"/>
      <c r="G256" s="5"/>
    </row>
    <row r="257" spans="4:7">
      <c r="D257" s="5"/>
      <c r="E257" s="5"/>
      <c r="F257" s="5"/>
      <c r="G257" s="5"/>
    </row>
    <row r="258" spans="4:7">
      <c r="D258" s="5"/>
      <c r="E258" s="5"/>
      <c r="F258" s="5"/>
      <c r="G258" s="5"/>
    </row>
    <row r="259" spans="4:7">
      <c r="D259" s="5"/>
      <c r="E259" s="5"/>
      <c r="F259" s="5"/>
      <c r="G259" s="5"/>
    </row>
    <row r="260" spans="4:7">
      <c r="D260" s="5"/>
      <c r="E260" s="5"/>
      <c r="F260" s="5"/>
      <c r="G260" s="5"/>
    </row>
    <row r="261" spans="4:7">
      <c r="D261" s="5"/>
      <c r="E261" s="5"/>
      <c r="F261" s="5"/>
      <c r="G261" s="5"/>
    </row>
    <row r="262" spans="4:7">
      <c r="D262" s="5"/>
      <c r="E262" s="5"/>
      <c r="F262" s="5"/>
      <c r="G262" s="5"/>
    </row>
    <row r="263" spans="4:7">
      <c r="D263" s="5"/>
      <c r="E263" s="5"/>
      <c r="F263" s="5"/>
      <c r="G263" s="5"/>
    </row>
    <row r="264" spans="4:7">
      <c r="D264" s="5"/>
      <c r="E264" s="5"/>
      <c r="F264" s="5"/>
      <c r="G264" s="5"/>
    </row>
    <row r="265" spans="4:7">
      <c r="D265" s="5"/>
      <c r="E265" s="5"/>
      <c r="F265" s="5"/>
      <c r="G265" s="5"/>
    </row>
    <row r="266" spans="4:7">
      <c r="D266" s="5"/>
      <c r="E266" s="5"/>
      <c r="F266" s="5"/>
      <c r="G266" s="5"/>
    </row>
    <row r="267" spans="4:7">
      <c r="D267" s="5"/>
      <c r="E267" s="5"/>
      <c r="F267" s="5"/>
      <c r="G267" s="5"/>
    </row>
    <row r="268" spans="4:7">
      <c r="D268" s="5"/>
      <c r="E268" s="5"/>
      <c r="F268" s="5"/>
      <c r="G268" s="5"/>
    </row>
    <row r="269" spans="4:7">
      <c r="D269" s="5"/>
      <c r="E269" s="5"/>
      <c r="F269" s="5"/>
      <c r="G269" s="5"/>
    </row>
    <row r="270" spans="4:7">
      <c r="D270" s="5"/>
      <c r="E270" s="5"/>
      <c r="F270" s="5"/>
      <c r="G270" s="5"/>
    </row>
    <row r="271" spans="4:7">
      <c r="D271" s="5"/>
      <c r="E271" s="5"/>
      <c r="F271" s="5"/>
      <c r="G271" s="5"/>
    </row>
    <row r="272" spans="4:7">
      <c r="D272" s="5"/>
      <c r="E272" s="5"/>
      <c r="F272" s="5"/>
      <c r="G272" s="5"/>
    </row>
    <row r="273" spans="4:7">
      <c r="D273" s="5"/>
      <c r="E273" s="5"/>
      <c r="F273" s="5"/>
      <c r="G273" s="5"/>
    </row>
    <row r="274" spans="4:7">
      <c r="D274" s="5"/>
      <c r="E274" s="5"/>
      <c r="F274" s="5"/>
      <c r="G274" s="5"/>
    </row>
    <row r="275" spans="4:7">
      <c r="D275" s="5"/>
      <c r="E275" s="5"/>
      <c r="F275" s="5"/>
      <c r="G275" s="5"/>
    </row>
    <row r="276" spans="4:7">
      <c r="D276" s="5"/>
      <c r="E276" s="5"/>
      <c r="F276" s="5"/>
      <c r="G276" s="5"/>
    </row>
    <row r="277" spans="4:7">
      <c r="D277" s="5"/>
      <c r="E277" s="5"/>
      <c r="F277" s="5"/>
      <c r="G277" s="5"/>
    </row>
    <row r="278" spans="4:7">
      <c r="D278" s="5"/>
      <c r="E278" s="5"/>
      <c r="F278" s="5"/>
      <c r="G278" s="5"/>
    </row>
    <row r="279" spans="4:7">
      <c r="D279" s="5"/>
      <c r="E279" s="5"/>
      <c r="F279" s="5"/>
      <c r="G279" s="5"/>
    </row>
    <row r="280" spans="4:7">
      <c r="D280" s="5"/>
      <c r="E280" s="5"/>
      <c r="F280" s="5"/>
      <c r="G280" s="5"/>
    </row>
    <row r="281" spans="4:7">
      <c r="D281" s="5"/>
      <c r="E281" s="5"/>
      <c r="F281" s="5"/>
      <c r="G281" s="5"/>
    </row>
    <row r="282" spans="4:7">
      <c r="D282" s="5"/>
      <c r="E282" s="5"/>
      <c r="F282" s="5"/>
      <c r="G282" s="5"/>
    </row>
    <row r="283" spans="4:7">
      <c r="D283" s="5"/>
      <c r="E283" s="5"/>
      <c r="F283" s="5"/>
      <c r="G283" s="5"/>
    </row>
    <row r="284" spans="4:7">
      <c r="D284" s="5"/>
      <c r="E284" s="5"/>
      <c r="F284" s="5"/>
      <c r="G284" s="5"/>
    </row>
    <row r="285" spans="4:7">
      <c r="D285" s="5"/>
      <c r="E285" s="5"/>
      <c r="F285" s="5"/>
      <c r="G285" s="5"/>
    </row>
    <row r="286" spans="4:7">
      <c r="D286" s="5"/>
      <c r="E286" s="5"/>
      <c r="F286" s="5"/>
      <c r="G286" s="5"/>
    </row>
    <row r="287" spans="4:7">
      <c r="D287" s="5"/>
      <c r="E287" s="5"/>
      <c r="F287" s="5"/>
      <c r="G287" s="5"/>
    </row>
    <row r="288" spans="4:7">
      <c r="D288" s="5"/>
      <c r="E288" s="5"/>
      <c r="F288" s="5"/>
      <c r="G288" s="5"/>
    </row>
    <row r="289" spans="4:7">
      <c r="D289" s="5"/>
      <c r="E289" s="5"/>
      <c r="F289" s="5"/>
      <c r="G289" s="5"/>
    </row>
    <row r="290" spans="4:7">
      <c r="D290" s="5"/>
      <c r="E290" s="5"/>
      <c r="F290" s="5"/>
      <c r="G290" s="5"/>
    </row>
    <row r="291" spans="4:7">
      <c r="D291" s="5"/>
      <c r="E291" s="5"/>
      <c r="F291" s="5"/>
      <c r="G291" s="5"/>
    </row>
    <row r="292" spans="4:7">
      <c r="D292" s="5"/>
      <c r="E292" s="5"/>
      <c r="F292" s="5"/>
      <c r="G292" s="5"/>
    </row>
    <row r="293" spans="4:7">
      <c r="D293" s="5"/>
      <c r="E293" s="5"/>
      <c r="F293" s="5"/>
      <c r="G293" s="5"/>
    </row>
    <row r="294" spans="4:7">
      <c r="D294" s="5"/>
      <c r="E294" s="5"/>
      <c r="F294" s="5"/>
      <c r="G294" s="5"/>
    </row>
    <row r="295" spans="4:7">
      <c r="D295" s="5"/>
      <c r="E295" s="5"/>
      <c r="F295" s="5"/>
      <c r="G295" s="5"/>
    </row>
    <row r="296" spans="4:7">
      <c r="D296" s="5"/>
      <c r="E296" s="5"/>
      <c r="F296" s="5"/>
      <c r="G296" s="5"/>
    </row>
    <row r="297" spans="4:7">
      <c r="D297" s="5"/>
      <c r="E297" s="5"/>
      <c r="F297" s="5"/>
      <c r="G297" s="5"/>
    </row>
    <row r="298" spans="4:7">
      <c r="D298" s="5"/>
      <c r="E298" s="5"/>
      <c r="F298" s="5"/>
      <c r="G298" s="5"/>
    </row>
    <row r="299" spans="4:7">
      <c r="D299" s="5"/>
      <c r="E299" s="5"/>
      <c r="F299" s="5"/>
      <c r="G299" s="5"/>
    </row>
    <row r="300" spans="4:7">
      <c r="D300" s="5"/>
      <c r="E300" s="5"/>
      <c r="F300" s="5"/>
      <c r="G300" s="5"/>
    </row>
    <row r="301" spans="4:7">
      <c r="D301" s="5"/>
      <c r="E301" s="5"/>
      <c r="F301" s="5"/>
      <c r="G301" s="5"/>
    </row>
    <row r="302" spans="4:7">
      <c r="D302" s="5"/>
      <c r="E302" s="5"/>
      <c r="F302" s="5"/>
      <c r="G302" s="5"/>
    </row>
    <row r="303" spans="4:7">
      <c r="D303" s="5"/>
      <c r="E303" s="5"/>
      <c r="F303" s="5"/>
      <c r="G303" s="5"/>
    </row>
    <row r="304" spans="4:7">
      <c r="D304" s="5"/>
      <c r="E304" s="5"/>
      <c r="F304" s="5"/>
      <c r="G304" s="5"/>
    </row>
    <row r="305" spans="4:7">
      <c r="D305" s="5"/>
      <c r="E305" s="5"/>
      <c r="F305" s="5"/>
      <c r="G305" s="5"/>
    </row>
    <row r="306" spans="4:7">
      <c r="D306" s="5"/>
      <c r="E306" s="5"/>
      <c r="F306" s="5"/>
      <c r="G306" s="5"/>
    </row>
    <row r="307" spans="4:7">
      <c r="D307" s="5"/>
      <c r="E307" s="5"/>
      <c r="F307" s="5"/>
      <c r="G307" s="5"/>
    </row>
    <row r="308" spans="4:7">
      <c r="D308" s="5"/>
      <c r="E308" s="5"/>
      <c r="F308" s="5"/>
      <c r="G308" s="5"/>
    </row>
    <row r="309" spans="4:7">
      <c r="D309" s="5"/>
      <c r="E309" s="5"/>
      <c r="F309" s="5"/>
      <c r="G309" s="5"/>
    </row>
    <row r="310" spans="4:7">
      <c r="D310" s="5"/>
      <c r="E310" s="5"/>
      <c r="F310" s="5"/>
      <c r="G310" s="5"/>
    </row>
    <row r="311" spans="4:7">
      <c r="D311" s="5"/>
      <c r="E311" s="5"/>
      <c r="F311" s="5"/>
      <c r="G311" s="5"/>
    </row>
    <row r="312" spans="4:7">
      <c r="D312" s="5"/>
      <c r="E312" s="5"/>
      <c r="F312" s="5"/>
      <c r="G312" s="5"/>
    </row>
    <row r="313" spans="4:7">
      <c r="D313" s="5"/>
      <c r="E313" s="5"/>
      <c r="F313" s="5"/>
      <c r="G313" s="5"/>
    </row>
    <row r="314" spans="4:7">
      <c r="D314" s="5"/>
      <c r="E314" s="5"/>
      <c r="F314" s="5"/>
      <c r="G314" s="5"/>
    </row>
    <row r="315" spans="4:7">
      <c r="D315" s="5"/>
      <c r="E315" s="5"/>
      <c r="F315" s="5"/>
      <c r="G315" s="5"/>
    </row>
    <row r="316" spans="4:7">
      <c r="D316" s="5"/>
      <c r="E316" s="5"/>
      <c r="F316" s="5"/>
      <c r="G316" s="5"/>
    </row>
    <row r="317" spans="4:7">
      <c r="D317" s="5"/>
      <c r="E317" s="5"/>
      <c r="F317" s="5"/>
      <c r="G317" s="5"/>
    </row>
    <row r="318" spans="4:7">
      <c r="D318" s="5"/>
      <c r="E318" s="5"/>
      <c r="F318" s="5"/>
      <c r="G318" s="5"/>
    </row>
    <row r="319" spans="4:7">
      <c r="D319" s="5"/>
      <c r="E319" s="5"/>
      <c r="F319" s="5"/>
      <c r="G319" s="5"/>
    </row>
    <row r="320" spans="4:7">
      <c r="D320" s="5"/>
      <c r="E320" s="5"/>
      <c r="F320" s="5"/>
      <c r="G320" s="5"/>
    </row>
    <row r="321" spans="4:7">
      <c r="D321" s="5"/>
      <c r="E321" s="5"/>
      <c r="F321" s="5"/>
      <c r="G321" s="5"/>
    </row>
    <row r="322" spans="4:7">
      <c r="D322" s="5"/>
      <c r="E322" s="5"/>
      <c r="F322" s="5"/>
      <c r="G322" s="5"/>
    </row>
    <row r="323" spans="4:7">
      <c r="D323" s="5"/>
      <c r="E323" s="5"/>
      <c r="F323" s="5"/>
      <c r="G323" s="5"/>
    </row>
    <row r="324" spans="4:7">
      <c r="D324" s="5"/>
      <c r="E324" s="5"/>
      <c r="F324" s="5"/>
      <c r="G324" s="5"/>
    </row>
    <row r="325" spans="4:7">
      <c r="D325" s="5"/>
      <c r="E325" s="5"/>
      <c r="F325" s="5"/>
      <c r="G325" s="5"/>
    </row>
    <row r="326" spans="4:7">
      <c r="D326" s="5"/>
      <c r="E326" s="5"/>
      <c r="F326" s="5"/>
      <c r="G326" s="5"/>
    </row>
    <row r="327" spans="4:7">
      <c r="D327" s="5"/>
      <c r="E327" s="5"/>
      <c r="F327" s="5"/>
      <c r="G327" s="5"/>
    </row>
    <row r="328" spans="4:7">
      <c r="D328" s="5"/>
      <c r="E328" s="5"/>
      <c r="F328" s="5"/>
      <c r="G328" s="5"/>
    </row>
    <row r="329" spans="4:7">
      <c r="D329" s="5"/>
      <c r="E329" s="5"/>
      <c r="F329" s="5"/>
      <c r="G329" s="5"/>
    </row>
    <row r="330" spans="4:7">
      <c r="D330" s="5"/>
      <c r="E330" s="5"/>
      <c r="F330" s="5"/>
      <c r="G330" s="5"/>
    </row>
    <row r="331" spans="4:7">
      <c r="D331" s="5"/>
      <c r="E331" s="5"/>
      <c r="F331" s="5"/>
      <c r="G331" s="5"/>
    </row>
    <row r="332" spans="4:7">
      <c r="D332" s="5"/>
      <c r="E332" s="5"/>
      <c r="F332" s="5"/>
      <c r="G332" s="5"/>
    </row>
    <row r="333" spans="4:7">
      <c r="D333" s="5"/>
      <c r="E333" s="5"/>
      <c r="F333" s="5"/>
      <c r="G333" s="5"/>
    </row>
    <row r="334" spans="4:7">
      <c r="D334" s="5"/>
      <c r="E334" s="5"/>
      <c r="F334" s="5"/>
      <c r="G334" s="5"/>
    </row>
    <row r="335" spans="4:7">
      <c r="D335" s="5"/>
      <c r="E335" s="5"/>
      <c r="F335" s="5"/>
      <c r="G335" s="5"/>
    </row>
    <row r="336" spans="4:7">
      <c r="D336" s="5"/>
      <c r="E336" s="5"/>
      <c r="F336" s="5"/>
      <c r="G336" s="5"/>
    </row>
    <row r="337" spans="4:7">
      <c r="D337" s="5"/>
      <c r="E337" s="5"/>
      <c r="F337" s="5"/>
      <c r="G337" s="5"/>
    </row>
    <row r="338" spans="4:7">
      <c r="D338" s="5"/>
      <c r="E338" s="5"/>
      <c r="F338" s="5"/>
      <c r="G338" s="5"/>
    </row>
    <row r="339" spans="4:7">
      <c r="D339" s="5"/>
      <c r="E339" s="5"/>
      <c r="F339" s="5"/>
      <c r="G339" s="5"/>
    </row>
    <row r="340" spans="4:7">
      <c r="D340" s="5"/>
      <c r="E340" s="5"/>
      <c r="F340" s="5"/>
      <c r="G340" s="5"/>
    </row>
    <row r="341" spans="4:7">
      <c r="D341" s="5"/>
      <c r="E341" s="5"/>
      <c r="F341" s="5"/>
      <c r="G341" s="5"/>
    </row>
    <row r="342" spans="4:7">
      <c r="D342" s="5"/>
      <c r="E342" s="5"/>
      <c r="F342" s="5"/>
      <c r="G342" s="5"/>
    </row>
    <row r="343" spans="4:7">
      <c r="D343" s="5"/>
      <c r="E343" s="5"/>
      <c r="F343" s="5"/>
      <c r="G343" s="5"/>
    </row>
    <row r="344" spans="4:7">
      <c r="D344" s="5"/>
      <c r="E344" s="5"/>
      <c r="F344" s="5"/>
      <c r="G344" s="5"/>
    </row>
    <row r="345" spans="4:7">
      <c r="D345" s="5"/>
      <c r="E345" s="5"/>
      <c r="F345" s="5"/>
      <c r="G345" s="5"/>
    </row>
    <row r="346" spans="4:7">
      <c r="D346" s="5"/>
      <c r="E346" s="5"/>
      <c r="F346" s="5"/>
      <c r="G346" s="5"/>
    </row>
  </sheetData>
  <mergeCells count="4">
    <mergeCell ref="A4:I4"/>
    <mergeCell ref="A5:I5"/>
    <mergeCell ref="A6:I6"/>
    <mergeCell ref="A7:I7"/>
  </mergeCells>
  <phoneticPr fontId="5" type="noConversion"/>
  <pageMargins left="0.75" right="0.75" top="1" bottom="1" header="0.5" footer="0.5"/>
  <pageSetup scale="67"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17"/>
    <pageSetUpPr fitToPage="1"/>
  </sheetPr>
  <dimension ref="A2:U358"/>
  <sheetViews>
    <sheetView zoomScaleNormal="100" workbookViewId="0">
      <selection activeCell="C13" sqref="C13:C14"/>
    </sheetView>
  </sheetViews>
  <sheetFormatPr defaultRowHeight="12.75"/>
  <cols>
    <col min="1" max="1" width="4.42578125" bestFit="1" customWidth="1"/>
    <col min="2" max="2" width="32" customWidth="1"/>
    <col min="3" max="3" width="12" style="16" bestFit="1" customWidth="1"/>
    <col min="4" max="4" width="11.85546875" customWidth="1"/>
    <col min="5" max="5" width="7.42578125" bestFit="1" customWidth="1"/>
    <col min="6" max="6" width="12.85546875" bestFit="1" customWidth="1"/>
    <col min="7" max="7" width="23.42578125" bestFit="1" customWidth="1"/>
    <col min="8" max="8" width="3.140625" customWidth="1"/>
    <col min="9" max="9" width="9.28515625" bestFit="1" customWidth="1"/>
    <col min="10" max="10" width="3.140625" customWidth="1"/>
    <col min="11" max="11" width="10.140625" bestFit="1" customWidth="1"/>
    <col min="12" max="12" width="11.5703125" bestFit="1" customWidth="1"/>
    <col min="13" max="13" width="11.140625" bestFit="1" customWidth="1"/>
    <col min="14" max="14" width="3" customWidth="1"/>
    <col min="15" max="15" width="16.5703125" bestFit="1" customWidth="1"/>
    <col min="16" max="16" width="16.42578125" customWidth="1"/>
    <col min="17" max="17" width="18.140625" bestFit="1" customWidth="1"/>
    <col min="18" max="18" width="15.7109375" customWidth="1"/>
    <col min="19" max="19" width="15.7109375" hidden="1" customWidth="1"/>
    <col min="20" max="20" width="13.7109375" bestFit="1" customWidth="1"/>
    <col min="21" max="21" width="14.85546875" bestFit="1" customWidth="1"/>
  </cols>
  <sheetData>
    <row r="2" spans="1:21">
      <c r="U2" s="10" t="str">
        <f>'F-2'!I1</f>
        <v>Docket No. RP16-299-000</v>
      </c>
    </row>
    <row r="3" spans="1:21">
      <c r="U3" s="10" t="s">
        <v>424</v>
      </c>
    </row>
    <row r="4" spans="1:21">
      <c r="A4" s="927" t="str">
        <f>'F-2'!A4:I4</f>
        <v>Tuscarora Gas Transmission Company</v>
      </c>
      <c r="B4" s="927"/>
      <c r="C4" s="927"/>
      <c r="D4" s="927"/>
      <c r="E4" s="927"/>
      <c r="F4" s="927"/>
      <c r="G4" s="927"/>
      <c r="H4" s="927"/>
      <c r="I4" s="927"/>
      <c r="J4" s="927"/>
      <c r="K4" s="927"/>
      <c r="L4" s="927"/>
      <c r="M4" s="927"/>
      <c r="N4" s="927"/>
      <c r="O4" s="927"/>
      <c r="P4" s="927"/>
      <c r="Q4" s="927"/>
      <c r="R4" s="927"/>
      <c r="S4" s="927"/>
      <c r="T4" s="927"/>
      <c r="U4" s="927"/>
    </row>
    <row r="5" spans="1:21">
      <c r="A5" s="927" t="s">
        <v>686</v>
      </c>
      <c r="B5" s="927"/>
      <c r="C5" s="927"/>
      <c r="D5" s="927"/>
      <c r="E5" s="927"/>
      <c r="F5" s="927"/>
      <c r="G5" s="927"/>
      <c r="H5" s="927"/>
      <c r="I5" s="927"/>
      <c r="J5" s="927"/>
      <c r="K5" s="927"/>
      <c r="L5" s="927"/>
      <c r="M5" s="927"/>
      <c r="N5" s="927"/>
      <c r="O5" s="927"/>
      <c r="P5" s="927"/>
      <c r="Q5" s="927"/>
      <c r="R5" s="927"/>
      <c r="S5" s="927"/>
      <c r="T5" s="927"/>
      <c r="U5" s="927"/>
    </row>
    <row r="6" spans="1:21">
      <c r="A6" s="928">
        <f>'Title Input and Macros'!B12</f>
        <v>42369</v>
      </c>
      <c r="B6" s="928"/>
      <c r="C6" s="928"/>
      <c r="D6" s="928"/>
      <c r="E6" s="928"/>
      <c r="F6" s="928"/>
      <c r="G6" s="928"/>
      <c r="H6" s="928"/>
      <c r="I6" s="928"/>
      <c r="J6" s="928"/>
      <c r="K6" s="928"/>
      <c r="L6" s="928"/>
      <c r="M6" s="928"/>
      <c r="N6" s="928"/>
      <c r="O6" s="928"/>
      <c r="P6" s="928"/>
      <c r="Q6" s="928"/>
      <c r="R6" s="928"/>
      <c r="S6" s="928"/>
      <c r="T6" s="928"/>
      <c r="U6" s="928"/>
    </row>
    <row r="7" spans="1:21">
      <c r="A7" s="927"/>
      <c r="B7" s="927"/>
      <c r="C7" s="927"/>
      <c r="D7" s="927"/>
      <c r="E7" s="927"/>
      <c r="F7" s="927"/>
      <c r="G7" s="927"/>
      <c r="H7" s="2"/>
      <c r="T7" s="2"/>
    </row>
    <row r="8" spans="1:21">
      <c r="A8" s="352"/>
      <c r="B8" s="2"/>
      <c r="C8" s="2"/>
      <c r="D8" s="2"/>
      <c r="E8" s="2"/>
      <c r="F8" s="2"/>
      <c r="T8" s="2"/>
    </row>
    <row r="9" spans="1:21" s="2" customFormat="1">
      <c r="C9" s="14"/>
      <c r="F9" s="2" t="s">
        <v>307</v>
      </c>
      <c r="G9" s="2" t="s">
        <v>689</v>
      </c>
      <c r="Q9" s="2" t="s">
        <v>690</v>
      </c>
    </row>
    <row r="10" spans="1:21">
      <c r="A10" t="s">
        <v>352</v>
      </c>
      <c r="C10" s="14" t="s">
        <v>426</v>
      </c>
      <c r="D10" s="2" t="s">
        <v>428</v>
      </c>
      <c r="E10" s="36" t="s">
        <v>429</v>
      </c>
      <c r="F10" s="2" t="s">
        <v>308</v>
      </c>
      <c r="G10" s="2" t="s">
        <v>691</v>
      </c>
      <c r="H10" s="2"/>
      <c r="I10" s="2" t="s">
        <v>692</v>
      </c>
      <c r="J10" s="2"/>
      <c r="K10" s="2" t="s">
        <v>693</v>
      </c>
      <c r="L10" s="2"/>
      <c r="M10" s="132" t="s">
        <v>694</v>
      </c>
      <c r="N10" s="132"/>
      <c r="O10" s="2" t="s">
        <v>695</v>
      </c>
      <c r="Q10" s="2" t="s">
        <v>43</v>
      </c>
      <c r="R10" s="2" t="s">
        <v>696</v>
      </c>
      <c r="S10" s="2" t="s">
        <v>439</v>
      </c>
      <c r="T10" s="2" t="s">
        <v>312</v>
      </c>
      <c r="U10" s="2" t="s">
        <v>452</v>
      </c>
    </row>
    <row r="11" spans="1:21">
      <c r="A11" s="1" t="s">
        <v>353</v>
      </c>
      <c r="B11" s="3" t="s">
        <v>425</v>
      </c>
      <c r="C11" s="33" t="s">
        <v>427</v>
      </c>
      <c r="D11" s="17" t="s">
        <v>240</v>
      </c>
      <c r="E11" s="3" t="s">
        <v>430</v>
      </c>
      <c r="F11" s="3" t="s">
        <v>655</v>
      </c>
      <c r="G11" s="3" t="s">
        <v>1073</v>
      </c>
      <c r="H11" s="3"/>
      <c r="I11" s="3" t="s">
        <v>309</v>
      </c>
      <c r="J11" s="3"/>
      <c r="K11" s="3" t="s">
        <v>697</v>
      </c>
      <c r="L11" s="3" t="s">
        <v>698</v>
      </c>
      <c r="M11" s="149" t="s">
        <v>654</v>
      </c>
      <c r="N11" s="149"/>
      <c r="O11" s="3" t="s">
        <v>428</v>
      </c>
      <c r="P11" s="3" t="s">
        <v>16</v>
      </c>
      <c r="Q11" s="3" t="s">
        <v>1074</v>
      </c>
      <c r="R11" s="3" t="s">
        <v>46</v>
      </c>
      <c r="S11" s="3" t="s">
        <v>206</v>
      </c>
      <c r="T11" s="3" t="s">
        <v>401</v>
      </c>
      <c r="U11" s="3" t="s">
        <v>39</v>
      </c>
    </row>
    <row r="12" spans="1:21">
      <c r="B12" s="2" t="s">
        <v>361</v>
      </c>
      <c r="C12" s="14" t="s">
        <v>362</v>
      </c>
      <c r="D12" s="2" t="s">
        <v>366</v>
      </c>
      <c r="E12" s="2" t="s">
        <v>363</v>
      </c>
      <c r="F12" s="2" t="s">
        <v>364</v>
      </c>
      <c r="G12" s="2" t="s">
        <v>379</v>
      </c>
      <c r="H12" s="2"/>
      <c r="I12" s="2" t="s">
        <v>380</v>
      </c>
      <c r="J12" s="2"/>
      <c r="K12" s="2" t="s">
        <v>403</v>
      </c>
      <c r="L12" s="2" t="s">
        <v>404</v>
      </c>
      <c r="M12" s="132" t="s">
        <v>351</v>
      </c>
      <c r="N12" s="132"/>
      <c r="O12" s="2" t="s">
        <v>250</v>
      </c>
      <c r="P12" s="2" t="s">
        <v>254</v>
      </c>
      <c r="Q12" s="2" t="s">
        <v>313</v>
      </c>
      <c r="R12" s="2" t="s">
        <v>314</v>
      </c>
      <c r="S12" s="2" t="s">
        <v>315</v>
      </c>
      <c r="T12" s="2" t="s">
        <v>315</v>
      </c>
      <c r="U12" s="2" t="s">
        <v>316</v>
      </c>
    </row>
    <row r="13" spans="1:21">
      <c r="C13" s="14"/>
      <c r="D13" s="2"/>
      <c r="E13" s="2" t="s">
        <v>42</v>
      </c>
      <c r="F13" s="2" t="s">
        <v>365</v>
      </c>
      <c r="G13" s="2" t="s">
        <v>365</v>
      </c>
      <c r="H13" s="2"/>
      <c r="I13" s="2" t="s">
        <v>365</v>
      </c>
      <c r="J13" s="2"/>
      <c r="K13" s="2" t="s">
        <v>42</v>
      </c>
      <c r="L13" s="2" t="s">
        <v>365</v>
      </c>
      <c r="M13" s="132" t="s">
        <v>365</v>
      </c>
      <c r="N13" s="132"/>
      <c r="O13" s="2" t="s">
        <v>365</v>
      </c>
      <c r="P13" s="2" t="s">
        <v>365</v>
      </c>
      <c r="Q13" s="2" t="s">
        <v>42</v>
      </c>
      <c r="R13" s="2" t="s">
        <v>365</v>
      </c>
      <c r="S13" s="2" t="s">
        <v>365</v>
      </c>
      <c r="T13" s="2" t="s">
        <v>365</v>
      </c>
      <c r="U13" s="2" t="s">
        <v>365</v>
      </c>
    </row>
    <row r="14" spans="1:21">
      <c r="A14">
        <v>1</v>
      </c>
      <c r="B14" s="37" t="s">
        <v>354</v>
      </c>
      <c r="C14" s="41"/>
      <c r="D14" s="39"/>
      <c r="E14" s="39"/>
      <c r="F14" s="5"/>
      <c r="G14" s="5"/>
      <c r="H14" s="5"/>
      <c r="I14" s="5"/>
      <c r="J14" s="5"/>
      <c r="K14" s="39"/>
      <c r="L14" s="5"/>
      <c r="M14" s="129"/>
      <c r="N14" s="129"/>
      <c r="O14" s="5"/>
      <c r="P14" s="5"/>
      <c r="Q14" s="39"/>
      <c r="R14" s="5"/>
      <c r="S14" s="5"/>
      <c r="T14" s="5"/>
      <c r="U14" s="5"/>
    </row>
    <row r="15" spans="1:21">
      <c r="A15">
        <f>A14+1</f>
        <v>2</v>
      </c>
      <c r="B15" s="339"/>
      <c r="C15" s="330"/>
      <c r="D15" s="330"/>
      <c r="E15" s="29"/>
      <c r="F15" s="5"/>
      <c r="G15" s="5"/>
      <c r="H15" s="66"/>
      <c r="I15" s="129"/>
      <c r="J15" s="66"/>
      <c r="K15" s="39"/>
      <c r="L15" s="5"/>
      <c r="M15" s="129"/>
      <c r="N15" s="66"/>
      <c r="O15" s="5"/>
      <c r="P15" s="5"/>
      <c r="Q15" s="39"/>
      <c r="R15" s="5"/>
      <c r="S15" s="230"/>
      <c r="T15" s="230"/>
      <c r="U15" s="5"/>
    </row>
    <row r="16" spans="1:21">
      <c r="A16">
        <f>+A15+1</f>
        <v>3</v>
      </c>
      <c r="B16" s="339" t="s">
        <v>673</v>
      </c>
      <c r="C16" s="330">
        <v>40533</v>
      </c>
      <c r="D16" s="330">
        <v>42968</v>
      </c>
      <c r="E16" s="29">
        <v>3.8199999999999998E-2</v>
      </c>
      <c r="F16" s="5">
        <v>27000000</v>
      </c>
      <c r="G16" s="5">
        <v>16182986</v>
      </c>
      <c r="H16" s="66"/>
      <c r="I16" s="129">
        <v>58956</v>
      </c>
      <c r="J16" s="66" t="s">
        <v>699</v>
      </c>
      <c r="K16" s="39">
        <f>+I16/G16</f>
        <v>3.6430853984548957E-3</v>
      </c>
      <c r="L16" s="5">
        <f>G16-I16</f>
        <v>16124030</v>
      </c>
      <c r="M16" s="129">
        <v>963</v>
      </c>
      <c r="N16" s="66" t="s">
        <v>700</v>
      </c>
      <c r="O16" s="5">
        <f>ROUND(G16*E16/360*M16,2)</f>
        <v>1653658.42</v>
      </c>
      <c r="P16" s="5">
        <f>+O16+I16</f>
        <v>1712614.42</v>
      </c>
      <c r="Q16" s="39">
        <f>P16/M16*360/L16</f>
        <v>3.9706555353694217E-2</v>
      </c>
      <c r="R16" s="5">
        <f>+G16*Q16</f>
        <v>642570.62939705851</v>
      </c>
      <c r="S16" s="230"/>
      <c r="T16" s="230"/>
      <c r="U16" s="5">
        <f>SUM(R16:T16)</f>
        <v>642570.62939705851</v>
      </c>
    </row>
    <row r="17" spans="1:21" s="72" customFormat="1">
      <c r="A17" s="72">
        <f>+A16+1</f>
        <v>4</v>
      </c>
      <c r="B17" s="339" t="s">
        <v>828</v>
      </c>
      <c r="C17" s="630"/>
      <c r="D17" s="630"/>
      <c r="E17" s="631">
        <v>0.02</v>
      </c>
      <c r="F17" s="129">
        <v>9500000</v>
      </c>
      <c r="G17" s="106">
        <f>F17</f>
        <v>9500000</v>
      </c>
      <c r="H17" s="106"/>
      <c r="I17" s="129">
        <v>35000</v>
      </c>
      <c r="J17" s="129"/>
      <c r="K17" s="341">
        <f>I17/F17</f>
        <v>3.6842105263157894E-3</v>
      </c>
      <c r="L17" s="129">
        <f>F17-I17</f>
        <v>9465000</v>
      </c>
      <c r="M17" s="129">
        <f>365*3</f>
        <v>1095</v>
      </c>
      <c r="N17" s="129"/>
      <c r="O17" s="129">
        <f>ROUND(F17*E17/360*M17,2)</f>
        <v>577916.67000000004</v>
      </c>
      <c r="P17" s="129">
        <f>+O17+I17</f>
        <v>612916.67000000004</v>
      </c>
      <c r="Q17" s="341">
        <f>P17/M17*360/L17</f>
        <v>2.128968308620802E-2</v>
      </c>
      <c r="R17" s="129"/>
      <c r="S17" s="314"/>
      <c r="T17" s="314">
        <f>Q17*F17</f>
        <v>202251.98931897618</v>
      </c>
      <c r="U17" s="129">
        <f>SUM(R17:T17)</f>
        <v>202251.98931897618</v>
      </c>
    </row>
    <row r="18" spans="1:21">
      <c r="A18">
        <v>5</v>
      </c>
      <c r="B18" s="339"/>
      <c r="C18" s="630"/>
      <c r="D18" s="630"/>
      <c r="E18" s="631"/>
      <c r="F18" s="129"/>
      <c r="G18" s="106"/>
      <c r="H18" s="106"/>
      <c r="I18" s="129"/>
      <c r="J18" s="129"/>
      <c r="K18" s="341"/>
      <c r="L18" s="129"/>
      <c r="M18" s="129"/>
      <c r="N18" s="129"/>
      <c r="O18" s="129"/>
      <c r="P18" s="129"/>
      <c r="Q18" s="341"/>
      <c r="R18" s="129"/>
      <c r="S18" s="314"/>
      <c r="T18" s="314"/>
      <c r="U18" s="129"/>
    </row>
    <row r="19" spans="1:21">
      <c r="A19">
        <v>6</v>
      </c>
      <c r="B19" s="76"/>
      <c r="C19" s="330"/>
      <c r="D19" s="330"/>
      <c r="E19" s="39"/>
      <c r="F19" s="5"/>
      <c r="G19" s="68"/>
      <c r="H19" s="68"/>
      <c r="I19" s="5"/>
      <c r="J19" s="5"/>
      <c r="K19" s="39"/>
      <c r="L19" s="5"/>
      <c r="M19" s="129"/>
      <c r="N19" s="129"/>
      <c r="O19" s="5"/>
      <c r="P19" s="5"/>
      <c r="Q19" s="39"/>
      <c r="R19" s="5"/>
      <c r="S19" s="230"/>
      <c r="T19" s="230"/>
      <c r="U19" s="5"/>
    </row>
    <row r="20" spans="1:21" ht="13.5" thickBot="1">
      <c r="A20">
        <v>7</v>
      </c>
      <c r="B20" s="24" t="s">
        <v>356</v>
      </c>
      <c r="C20" s="41"/>
      <c r="F20" s="6">
        <f>SUM(F14:F17)</f>
        <v>36500000</v>
      </c>
      <c r="G20" s="6">
        <f>SUM(G14:G17)</f>
        <v>25682986</v>
      </c>
      <c r="H20" s="6"/>
      <c r="I20" s="6">
        <f>SUM(I14:I17)</f>
        <v>93956</v>
      </c>
      <c r="J20" s="6"/>
      <c r="K20" s="40">
        <f>SUM(K15:K17)</f>
        <v>7.3272959247706847E-3</v>
      </c>
      <c r="L20" s="6">
        <f>SUM(L14:L17)</f>
        <v>25589030</v>
      </c>
      <c r="M20" s="349">
        <f>SUM(M14:M17)</f>
        <v>2058</v>
      </c>
      <c r="N20" s="349"/>
      <c r="O20" s="6">
        <f>SUM(O15:O17)</f>
        <v>2231575.09</v>
      </c>
      <c r="P20" s="6">
        <f>SUM(P15:P17)</f>
        <v>2325531.09</v>
      </c>
      <c r="Q20" s="38">
        <f>U20/L20</f>
        <v>3.3015031000238566E-2</v>
      </c>
      <c r="R20" s="6">
        <f>SUM(R15:R17)</f>
        <v>642570.62939705851</v>
      </c>
      <c r="S20" s="350">
        <f>SUM(S15:S17)</f>
        <v>0</v>
      </c>
      <c r="T20" s="350">
        <f>T17</f>
        <v>202251.98931897618</v>
      </c>
      <c r="U20" s="6">
        <f>SUM(U15:U17)</f>
        <v>844822.61871603469</v>
      </c>
    </row>
    <row r="21" spans="1:21" ht="13.5" thickTop="1">
      <c r="D21" s="5"/>
      <c r="E21" s="5"/>
      <c r="F21" s="29"/>
      <c r="G21" s="29"/>
      <c r="H21" s="29"/>
      <c r="R21" s="101"/>
      <c r="S21" s="186"/>
      <c r="U21" s="186"/>
    </row>
    <row r="22" spans="1:21">
      <c r="D22" s="5"/>
      <c r="E22" s="5"/>
      <c r="F22" s="29"/>
      <c r="G22" s="29"/>
      <c r="H22" s="29"/>
      <c r="R22" s="344"/>
      <c r="S22" s="12"/>
      <c r="T22" s="73"/>
      <c r="U22" s="12"/>
    </row>
    <row r="23" spans="1:21">
      <c r="A23" s="351" t="s">
        <v>699</v>
      </c>
      <c r="B23" s="76" t="s">
        <v>767</v>
      </c>
      <c r="D23" s="5"/>
      <c r="E23" s="5"/>
      <c r="F23" s="29"/>
      <c r="G23" s="29"/>
      <c r="H23" s="29"/>
    </row>
    <row r="24" spans="1:21">
      <c r="D24" s="5"/>
      <c r="E24" s="5"/>
      <c r="F24" s="29"/>
      <c r="G24" s="29"/>
      <c r="H24" s="29"/>
      <c r="K24" s="490"/>
    </row>
    <row r="25" spans="1:21">
      <c r="A25" s="351" t="s">
        <v>700</v>
      </c>
      <c r="B25" s="76" t="s">
        <v>768</v>
      </c>
      <c r="C25" s="2"/>
      <c r="D25" s="2"/>
      <c r="E25" s="2"/>
      <c r="F25" s="2"/>
      <c r="T25" s="2"/>
    </row>
    <row r="26" spans="1:21">
      <c r="A26" s="2"/>
      <c r="B26" s="2"/>
      <c r="C26" s="2"/>
      <c r="D26" s="2"/>
      <c r="E26" s="2"/>
      <c r="F26" s="2"/>
      <c r="T26" s="2"/>
    </row>
    <row r="27" spans="1:21">
      <c r="A27" s="351" t="s">
        <v>829</v>
      </c>
      <c r="B27" t="s">
        <v>1083</v>
      </c>
      <c r="D27" s="5"/>
      <c r="E27" s="5"/>
      <c r="F27" s="5"/>
    </row>
    <row r="28" spans="1:21">
      <c r="D28" s="5"/>
      <c r="E28" s="5"/>
      <c r="F28" s="5"/>
    </row>
    <row r="29" spans="1:21">
      <c r="D29" s="5"/>
      <c r="E29" s="5"/>
      <c r="F29" s="5"/>
    </row>
    <row r="30" spans="1:21">
      <c r="D30" s="5"/>
      <c r="E30" s="5"/>
      <c r="F30" s="5"/>
    </row>
    <row r="31" spans="1:21">
      <c r="D31" s="5"/>
      <c r="E31" s="5"/>
      <c r="F31" s="5"/>
    </row>
    <row r="32" spans="1:21">
      <c r="D32" s="5"/>
      <c r="E32" s="5"/>
      <c r="F32" s="5"/>
    </row>
    <row r="33" spans="4:12">
      <c r="D33" s="5"/>
      <c r="E33" s="5"/>
      <c r="F33" s="5"/>
    </row>
    <row r="34" spans="4:12">
      <c r="D34" s="5"/>
      <c r="E34" s="5"/>
      <c r="F34" s="5"/>
    </row>
    <row r="35" spans="4:12">
      <c r="D35" s="5"/>
      <c r="E35" s="5"/>
      <c r="F35" s="5"/>
      <c r="L35" s="5"/>
    </row>
    <row r="36" spans="4:12">
      <c r="D36" s="5"/>
      <c r="E36" s="5"/>
      <c r="F36" s="5"/>
    </row>
    <row r="37" spans="4:12">
      <c r="D37" s="5"/>
      <c r="E37" s="5"/>
      <c r="F37" s="5"/>
    </row>
    <row r="38" spans="4:12">
      <c r="D38" s="5"/>
      <c r="E38" s="5"/>
      <c r="F38" s="5"/>
    </row>
    <row r="39" spans="4:12">
      <c r="D39" s="5"/>
      <c r="E39" s="5"/>
      <c r="F39" s="5"/>
    </row>
    <row r="40" spans="4:12">
      <c r="D40" s="5"/>
      <c r="E40" s="5"/>
      <c r="F40" s="5"/>
    </row>
    <row r="41" spans="4:12">
      <c r="D41" s="5"/>
      <c r="E41" s="5"/>
      <c r="F41" s="5"/>
    </row>
    <row r="42" spans="4:12">
      <c r="D42" s="5"/>
      <c r="E42" s="5"/>
      <c r="F42" s="5"/>
    </row>
    <row r="43" spans="4:12">
      <c r="D43" s="5"/>
      <c r="E43" s="5"/>
      <c r="F43" s="5"/>
    </row>
    <row r="44" spans="4:12">
      <c r="D44" s="5"/>
      <c r="E44" s="5"/>
      <c r="F44" s="5"/>
    </row>
    <row r="45" spans="4:12">
      <c r="D45" s="5"/>
      <c r="E45" s="5"/>
      <c r="F45" s="5"/>
    </row>
    <row r="46" spans="4:12">
      <c r="D46" s="5"/>
      <c r="E46" s="5"/>
      <c r="F46" s="5"/>
    </row>
    <row r="47" spans="4:12">
      <c r="D47" s="5"/>
      <c r="E47" s="5"/>
      <c r="F47" s="5"/>
    </row>
    <row r="48" spans="4:12">
      <c r="D48" s="5"/>
      <c r="E48" s="5"/>
      <c r="F48" s="5"/>
    </row>
    <row r="49" spans="4:6">
      <c r="D49" s="5"/>
      <c r="E49" s="5"/>
      <c r="F49" s="5"/>
    </row>
    <row r="50" spans="4:6">
      <c r="D50" s="5"/>
      <c r="E50" s="5"/>
      <c r="F50" s="5"/>
    </row>
    <row r="51" spans="4:6">
      <c r="D51" s="5"/>
      <c r="E51" s="5"/>
      <c r="F51" s="5"/>
    </row>
    <row r="52" spans="4:6" ht="14.25" customHeight="1">
      <c r="D52" s="5"/>
      <c r="E52" s="5"/>
      <c r="F52" s="5"/>
    </row>
    <row r="53" spans="4:6">
      <c r="D53" s="5"/>
      <c r="E53" s="5"/>
      <c r="F53" s="5"/>
    </row>
    <row r="54" spans="4:6">
      <c r="D54" s="5"/>
      <c r="E54" s="5"/>
      <c r="F54" s="5"/>
    </row>
    <row r="55" spans="4:6">
      <c r="D55" s="5"/>
      <c r="E55" s="5"/>
      <c r="F55" s="5"/>
    </row>
    <row r="56" spans="4:6">
      <c r="D56" s="5"/>
      <c r="E56" s="5"/>
      <c r="F56" s="5"/>
    </row>
    <row r="57" spans="4:6">
      <c r="D57" s="5"/>
      <c r="E57" s="5"/>
      <c r="F57" s="5"/>
    </row>
    <row r="58" spans="4:6">
      <c r="D58" s="5"/>
      <c r="E58" s="5"/>
      <c r="F58" s="5"/>
    </row>
    <row r="59" spans="4:6">
      <c r="D59" s="5"/>
      <c r="E59" s="5"/>
      <c r="F59" s="5"/>
    </row>
    <row r="60" spans="4:6">
      <c r="D60" s="5"/>
      <c r="E60" s="5"/>
      <c r="F60" s="5"/>
    </row>
    <row r="61" spans="4:6">
      <c r="D61" s="5"/>
      <c r="E61" s="5"/>
      <c r="F61" s="5"/>
    </row>
    <row r="62" spans="4:6">
      <c r="D62" s="5"/>
      <c r="E62" s="5"/>
      <c r="F62" s="5"/>
    </row>
    <row r="63" spans="4:6">
      <c r="D63" s="5"/>
      <c r="E63" s="5"/>
      <c r="F63" s="5"/>
    </row>
    <row r="64" spans="4:6">
      <c r="D64" s="5"/>
      <c r="E64" s="5"/>
      <c r="F64" s="5"/>
    </row>
    <row r="65" spans="4:6">
      <c r="D65" s="5"/>
      <c r="E65" s="5"/>
      <c r="F65" s="5"/>
    </row>
    <row r="66" spans="4:6">
      <c r="D66" s="5"/>
      <c r="E66" s="5"/>
      <c r="F66" s="5"/>
    </row>
    <row r="67" spans="4:6">
      <c r="D67" s="5"/>
      <c r="E67" s="5"/>
      <c r="F67" s="5"/>
    </row>
    <row r="68" spans="4:6">
      <c r="D68" s="5"/>
      <c r="E68" s="5"/>
      <c r="F68" s="5"/>
    </row>
    <row r="69" spans="4:6">
      <c r="D69" s="5"/>
      <c r="E69" s="5"/>
      <c r="F69" s="5"/>
    </row>
    <row r="70" spans="4:6">
      <c r="D70" s="5"/>
      <c r="E70" s="5"/>
      <c r="F70" s="5"/>
    </row>
    <row r="71" spans="4:6">
      <c r="D71" s="5"/>
      <c r="E71" s="5"/>
      <c r="F71" s="5"/>
    </row>
    <row r="72" spans="4:6">
      <c r="D72" s="5"/>
      <c r="E72" s="5"/>
      <c r="F72" s="5"/>
    </row>
    <row r="73" spans="4:6">
      <c r="D73" s="5"/>
      <c r="E73" s="5"/>
      <c r="F73" s="5"/>
    </row>
    <row r="74" spans="4:6">
      <c r="D74" s="5"/>
      <c r="E74" s="5"/>
      <c r="F74" s="5"/>
    </row>
    <row r="75" spans="4:6">
      <c r="D75" s="5"/>
      <c r="E75" s="5"/>
      <c r="F75" s="5"/>
    </row>
    <row r="76" spans="4:6">
      <c r="D76" s="5"/>
      <c r="E76" s="5"/>
      <c r="F76" s="5"/>
    </row>
    <row r="77" spans="4:6">
      <c r="D77" s="5"/>
      <c r="E77" s="5"/>
      <c r="F77" s="5"/>
    </row>
    <row r="78" spans="4:6">
      <c r="D78" s="5"/>
      <c r="E78" s="5"/>
      <c r="F78" s="5"/>
    </row>
    <row r="79" spans="4:6">
      <c r="D79" s="5"/>
      <c r="E79" s="5"/>
      <c r="F79" s="5"/>
    </row>
    <row r="80" spans="4:6">
      <c r="D80" s="5"/>
      <c r="E80" s="5"/>
      <c r="F80" s="5"/>
    </row>
    <row r="81" spans="4:6">
      <c r="D81" s="5"/>
      <c r="E81" s="5"/>
      <c r="F81" s="5"/>
    </row>
    <row r="82" spans="4:6">
      <c r="D82" s="5"/>
      <c r="E82" s="5"/>
      <c r="F82" s="5"/>
    </row>
    <row r="83" spans="4:6">
      <c r="D83" s="5"/>
      <c r="E83" s="5"/>
      <c r="F83" s="5"/>
    </row>
    <row r="84" spans="4:6">
      <c r="D84" s="5"/>
      <c r="E84" s="5"/>
      <c r="F84" s="5"/>
    </row>
    <row r="85" spans="4:6">
      <c r="D85" s="5"/>
      <c r="E85" s="5"/>
      <c r="F85" s="5"/>
    </row>
    <row r="86" spans="4:6">
      <c r="D86" s="5"/>
      <c r="E86" s="5"/>
      <c r="F86" s="5"/>
    </row>
    <row r="87" spans="4:6">
      <c r="D87" s="5"/>
      <c r="E87" s="5"/>
      <c r="F87" s="5"/>
    </row>
    <row r="88" spans="4:6">
      <c r="D88" s="5"/>
      <c r="E88" s="5"/>
      <c r="F88" s="5"/>
    </row>
    <row r="89" spans="4:6">
      <c r="D89" s="5"/>
      <c r="E89" s="5"/>
      <c r="F89" s="5"/>
    </row>
    <row r="90" spans="4:6">
      <c r="D90" s="5"/>
      <c r="E90" s="5"/>
      <c r="F90" s="5"/>
    </row>
    <row r="91" spans="4:6">
      <c r="D91" s="5"/>
      <c r="E91" s="5"/>
      <c r="F91" s="5"/>
    </row>
    <row r="92" spans="4:6">
      <c r="D92" s="5"/>
      <c r="E92" s="5"/>
      <c r="F92" s="5"/>
    </row>
    <row r="93" spans="4:6">
      <c r="D93" s="5"/>
      <c r="E93" s="5"/>
      <c r="F93" s="5"/>
    </row>
    <row r="94" spans="4:6">
      <c r="D94" s="5"/>
      <c r="E94" s="5"/>
      <c r="F94" s="5"/>
    </row>
    <row r="95" spans="4:6">
      <c r="D95" s="5"/>
      <c r="E95" s="5"/>
      <c r="F95" s="5"/>
    </row>
    <row r="96" spans="4:6">
      <c r="D96" s="5"/>
      <c r="E96" s="5"/>
      <c r="F96" s="5"/>
    </row>
    <row r="97" spans="4:6">
      <c r="D97" s="5"/>
      <c r="E97" s="5"/>
      <c r="F97" s="5"/>
    </row>
    <row r="98" spans="4:6">
      <c r="D98" s="5"/>
      <c r="E98" s="5"/>
      <c r="F98" s="5"/>
    </row>
    <row r="99" spans="4:6">
      <c r="D99" s="5"/>
      <c r="E99" s="5"/>
      <c r="F99" s="5"/>
    </row>
    <row r="100" spans="4:6">
      <c r="D100" s="5"/>
      <c r="E100" s="5"/>
      <c r="F100" s="5"/>
    </row>
    <row r="101" spans="4:6">
      <c r="D101" s="5"/>
      <c r="E101" s="5"/>
      <c r="F101" s="5"/>
    </row>
    <row r="102" spans="4:6">
      <c r="D102" s="5"/>
      <c r="E102" s="5"/>
      <c r="F102" s="5"/>
    </row>
    <row r="103" spans="4:6">
      <c r="D103" s="5"/>
      <c r="E103" s="5"/>
      <c r="F103" s="5"/>
    </row>
    <row r="104" spans="4:6">
      <c r="D104" s="5"/>
      <c r="E104" s="5"/>
      <c r="F104" s="5"/>
    </row>
    <row r="105" spans="4:6">
      <c r="D105" s="5"/>
      <c r="E105" s="5"/>
      <c r="F105" s="5"/>
    </row>
    <row r="106" spans="4:6">
      <c r="D106" s="5"/>
      <c r="E106" s="5"/>
      <c r="F106" s="5"/>
    </row>
    <row r="107" spans="4:6">
      <c r="D107" s="5"/>
      <c r="E107" s="5"/>
      <c r="F107" s="5"/>
    </row>
    <row r="108" spans="4:6">
      <c r="D108" s="5"/>
      <c r="E108" s="5"/>
      <c r="F108" s="5"/>
    </row>
    <row r="109" spans="4:6">
      <c r="D109" s="5"/>
      <c r="E109" s="5"/>
      <c r="F109" s="5"/>
    </row>
    <row r="110" spans="4:6">
      <c r="D110" s="5"/>
      <c r="E110" s="5"/>
      <c r="F110" s="5"/>
    </row>
    <row r="111" spans="4:6">
      <c r="D111" s="5"/>
      <c r="E111" s="5"/>
      <c r="F111" s="5"/>
    </row>
    <row r="112" spans="4:6">
      <c r="D112" s="5"/>
      <c r="E112" s="5"/>
      <c r="F112" s="5"/>
    </row>
    <row r="113" spans="4:6">
      <c r="D113" s="5"/>
      <c r="E113" s="5"/>
      <c r="F113" s="5"/>
    </row>
    <row r="114" spans="4:6">
      <c r="D114" s="5"/>
      <c r="E114" s="5"/>
      <c r="F114" s="5"/>
    </row>
    <row r="115" spans="4:6">
      <c r="D115" s="5"/>
      <c r="E115" s="5"/>
      <c r="F115" s="5"/>
    </row>
    <row r="116" spans="4:6">
      <c r="D116" s="5"/>
      <c r="E116" s="5"/>
      <c r="F116" s="5"/>
    </row>
    <row r="117" spans="4:6">
      <c r="D117" s="5"/>
      <c r="E117" s="5"/>
      <c r="F117" s="5"/>
    </row>
    <row r="118" spans="4:6">
      <c r="D118" s="5"/>
      <c r="E118" s="5"/>
      <c r="F118" s="5"/>
    </row>
    <row r="119" spans="4:6">
      <c r="D119" s="5"/>
      <c r="E119" s="5"/>
      <c r="F119" s="5"/>
    </row>
    <row r="120" spans="4:6">
      <c r="D120" s="5"/>
      <c r="E120" s="5"/>
      <c r="F120" s="5"/>
    </row>
    <row r="121" spans="4:6">
      <c r="D121" s="5"/>
      <c r="E121" s="5"/>
      <c r="F121" s="5"/>
    </row>
    <row r="122" spans="4:6">
      <c r="D122" s="5"/>
      <c r="E122" s="5"/>
      <c r="F122" s="5"/>
    </row>
    <row r="123" spans="4:6">
      <c r="D123" s="5"/>
      <c r="E123" s="5"/>
      <c r="F123" s="5"/>
    </row>
    <row r="124" spans="4:6">
      <c r="D124" s="5"/>
      <c r="E124" s="5"/>
      <c r="F124" s="5"/>
    </row>
    <row r="125" spans="4:6">
      <c r="D125" s="5"/>
      <c r="E125" s="5"/>
      <c r="F125" s="5"/>
    </row>
    <row r="126" spans="4:6">
      <c r="D126" s="5"/>
      <c r="E126" s="5"/>
      <c r="F126" s="5"/>
    </row>
    <row r="127" spans="4:6">
      <c r="D127" s="5"/>
      <c r="E127" s="5"/>
      <c r="F127" s="5"/>
    </row>
    <row r="128" spans="4:6">
      <c r="D128" s="5"/>
      <c r="E128" s="5"/>
      <c r="F128" s="5"/>
    </row>
    <row r="129" spans="4:6">
      <c r="D129" s="5"/>
      <c r="E129" s="5"/>
      <c r="F129" s="5"/>
    </row>
    <row r="130" spans="4:6">
      <c r="D130" s="5"/>
      <c r="E130" s="5"/>
      <c r="F130" s="5"/>
    </row>
    <row r="131" spans="4:6">
      <c r="D131" s="5"/>
      <c r="E131" s="5"/>
      <c r="F131" s="5"/>
    </row>
    <row r="132" spans="4:6">
      <c r="D132" s="5"/>
      <c r="E132" s="5"/>
      <c r="F132" s="5"/>
    </row>
    <row r="133" spans="4:6">
      <c r="D133" s="5"/>
      <c r="E133" s="5"/>
      <c r="F133" s="5"/>
    </row>
    <row r="134" spans="4:6">
      <c r="D134" s="5"/>
      <c r="E134" s="5"/>
      <c r="F134" s="5"/>
    </row>
    <row r="135" spans="4:6">
      <c r="D135" s="5"/>
      <c r="E135" s="5"/>
      <c r="F135" s="5"/>
    </row>
    <row r="136" spans="4:6">
      <c r="D136" s="5"/>
      <c r="E136" s="5"/>
      <c r="F136" s="5"/>
    </row>
    <row r="137" spans="4:6">
      <c r="D137" s="5"/>
      <c r="E137" s="5"/>
      <c r="F137" s="5"/>
    </row>
    <row r="138" spans="4:6">
      <c r="D138" s="5"/>
      <c r="E138" s="5"/>
      <c r="F138" s="5"/>
    </row>
    <row r="139" spans="4:6">
      <c r="D139" s="5"/>
      <c r="E139" s="5"/>
      <c r="F139" s="5"/>
    </row>
    <row r="140" spans="4:6">
      <c r="D140" s="5"/>
      <c r="E140" s="5"/>
      <c r="F140" s="5"/>
    </row>
    <row r="141" spans="4:6">
      <c r="D141" s="5"/>
      <c r="E141" s="5"/>
      <c r="F141" s="5"/>
    </row>
    <row r="142" spans="4:6">
      <c r="D142" s="5"/>
      <c r="E142" s="5"/>
      <c r="F142" s="5"/>
    </row>
    <row r="143" spans="4:6">
      <c r="D143" s="5"/>
      <c r="E143" s="5"/>
      <c r="F143" s="5"/>
    </row>
    <row r="144" spans="4:6">
      <c r="D144" s="5"/>
      <c r="E144" s="5"/>
      <c r="F144" s="5"/>
    </row>
    <row r="145" spans="4:6">
      <c r="D145" s="5"/>
      <c r="E145" s="5"/>
      <c r="F145" s="5"/>
    </row>
    <row r="146" spans="4:6">
      <c r="D146" s="5"/>
      <c r="E146" s="5"/>
      <c r="F146" s="5"/>
    </row>
    <row r="147" spans="4:6">
      <c r="D147" s="5"/>
      <c r="E147" s="5"/>
      <c r="F147" s="5"/>
    </row>
    <row r="148" spans="4:6">
      <c r="D148" s="5"/>
      <c r="E148" s="5"/>
      <c r="F148" s="5"/>
    </row>
    <row r="149" spans="4:6">
      <c r="D149" s="5"/>
      <c r="E149" s="5"/>
      <c r="F149" s="5"/>
    </row>
    <row r="150" spans="4:6">
      <c r="D150" s="5"/>
      <c r="E150" s="5"/>
      <c r="F150" s="5"/>
    </row>
    <row r="151" spans="4:6">
      <c r="D151" s="5"/>
      <c r="E151" s="5"/>
      <c r="F151" s="5"/>
    </row>
    <row r="152" spans="4:6">
      <c r="D152" s="5"/>
      <c r="E152" s="5"/>
      <c r="F152" s="5"/>
    </row>
    <row r="153" spans="4:6">
      <c r="D153" s="5"/>
      <c r="E153" s="5"/>
      <c r="F153" s="5"/>
    </row>
    <row r="154" spans="4:6">
      <c r="D154" s="5"/>
      <c r="E154" s="5"/>
      <c r="F154" s="5"/>
    </row>
    <row r="155" spans="4:6">
      <c r="D155" s="5"/>
      <c r="E155" s="5"/>
      <c r="F155" s="5"/>
    </row>
    <row r="156" spans="4:6">
      <c r="D156" s="5"/>
      <c r="E156" s="5"/>
      <c r="F156" s="5"/>
    </row>
    <row r="157" spans="4:6">
      <c r="D157" s="5"/>
      <c r="E157" s="5"/>
      <c r="F157" s="5"/>
    </row>
    <row r="158" spans="4:6">
      <c r="D158" s="5"/>
      <c r="E158" s="5"/>
      <c r="F158" s="5"/>
    </row>
    <row r="159" spans="4:6">
      <c r="D159" s="5"/>
      <c r="E159" s="5"/>
      <c r="F159" s="5"/>
    </row>
    <row r="160" spans="4:6">
      <c r="D160" s="5"/>
      <c r="E160" s="5"/>
      <c r="F160" s="5"/>
    </row>
    <row r="161" spans="4:6">
      <c r="D161" s="5"/>
      <c r="E161" s="5"/>
      <c r="F161" s="5"/>
    </row>
    <row r="162" spans="4:6">
      <c r="D162" s="5"/>
      <c r="E162" s="5"/>
      <c r="F162" s="5"/>
    </row>
    <row r="163" spans="4:6">
      <c r="D163" s="5"/>
      <c r="E163" s="5"/>
      <c r="F163" s="5"/>
    </row>
    <row r="164" spans="4:6">
      <c r="D164" s="5"/>
      <c r="E164" s="5"/>
      <c r="F164" s="5"/>
    </row>
    <row r="165" spans="4:6">
      <c r="D165" s="5"/>
      <c r="E165" s="5"/>
      <c r="F165" s="5"/>
    </row>
    <row r="166" spans="4:6">
      <c r="D166" s="5"/>
      <c r="E166" s="5"/>
      <c r="F166" s="5"/>
    </row>
    <row r="167" spans="4:6">
      <c r="D167" s="5"/>
      <c r="E167" s="5"/>
      <c r="F167" s="5"/>
    </row>
    <row r="168" spans="4:6">
      <c r="D168" s="5"/>
      <c r="E168" s="5"/>
      <c r="F168" s="5"/>
    </row>
    <row r="169" spans="4:6">
      <c r="D169" s="5"/>
      <c r="E169" s="5"/>
      <c r="F169" s="5"/>
    </row>
    <row r="170" spans="4:6">
      <c r="D170" s="5"/>
      <c r="E170" s="5"/>
      <c r="F170" s="5"/>
    </row>
    <row r="171" spans="4:6">
      <c r="D171" s="5"/>
      <c r="E171" s="5"/>
      <c r="F171" s="5"/>
    </row>
    <row r="172" spans="4:6">
      <c r="D172" s="5"/>
      <c r="E172" s="5"/>
      <c r="F172" s="5"/>
    </row>
    <row r="173" spans="4:6">
      <c r="D173" s="5"/>
      <c r="E173" s="5"/>
      <c r="F173" s="5"/>
    </row>
    <row r="174" spans="4:6">
      <c r="D174" s="5"/>
      <c r="E174" s="5"/>
      <c r="F174" s="5"/>
    </row>
    <row r="175" spans="4:6">
      <c r="D175" s="5"/>
      <c r="E175" s="5"/>
      <c r="F175" s="5"/>
    </row>
    <row r="176" spans="4:6">
      <c r="D176" s="5"/>
      <c r="E176" s="5"/>
      <c r="F176" s="5"/>
    </row>
    <row r="177" spans="4:6">
      <c r="D177" s="5"/>
      <c r="E177" s="5"/>
      <c r="F177" s="5"/>
    </row>
    <row r="178" spans="4:6">
      <c r="D178" s="5"/>
      <c r="E178" s="5"/>
      <c r="F178" s="5"/>
    </row>
    <row r="179" spans="4:6">
      <c r="D179" s="5"/>
      <c r="E179" s="5"/>
      <c r="F179" s="5"/>
    </row>
    <row r="180" spans="4:6">
      <c r="D180" s="5"/>
      <c r="E180" s="5"/>
      <c r="F180" s="5"/>
    </row>
    <row r="181" spans="4:6">
      <c r="D181" s="5"/>
      <c r="E181" s="5"/>
      <c r="F181" s="5"/>
    </row>
    <row r="182" spans="4:6">
      <c r="D182" s="5"/>
      <c r="E182" s="5"/>
      <c r="F182" s="5"/>
    </row>
    <row r="183" spans="4:6">
      <c r="D183" s="5"/>
      <c r="E183" s="5"/>
      <c r="F183" s="5"/>
    </row>
    <row r="184" spans="4:6">
      <c r="D184" s="5"/>
      <c r="E184" s="5"/>
      <c r="F184" s="5"/>
    </row>
    <row r="185" spans="4:6">
      <c r="D185" s="5"/>
      <c r="E185" s="5"/>
      <c r="F185" s="5"/>
    </row>
    <row r="186" spans="4:6">
      <c r="D186" s="5"/>
      <c r="E186" s="5"/>
      <c r="F186" s="5"/>
    </row>
    <row r="187" spans="4:6">
      <c r="D187" s="5"/>
      <c r="E187" s="5"/>
      <c r="F187" s="5"/>
    </row>
    <row r="188" spans="4:6">
      <c r="D188" s="5"/>
      <c r="E188" s="5"/>
      <c r="F188" s="5"/>
    </row>
    <row r="189" spans="4:6">
      <c r="D189" s="5"/>
      <c r="E189" s="5"/>
      <c r="F189" s="5"/>
    </row>
    <row r="190" spans="4:6">
      <c r="D190" s="5"/>
      <c r="E190" s="5"/>
      <c r="F190" s="5"/>
    </row>
    <row r="191" spans="4:6">
      <c r="D191" s="5"/>
      <c r="E191" s="5"/>
      <c r="F191" s="5"/>
    </row>
    <row r="192" spans="4:6">
      <c r="D192" s="5"/>
      <c r="E192" s="5"/>
      <c r="F192" s="5"/>
    </row>
    <row r="193" spans="4:6">
      <c r="D193" s="5"/>
      <c r="E193" s="5"/>
      <c r="F193" s="5"/>
    </row>
    <row r="194" spans="4:6">
      <c r="D194" s="5"/>
      <c r="E194" s="5"/>
      <c r="F194" s="5"/>
    </row>
    <row r="195" spans="4:6">
      <c r="D195" s="5"/>
      <c r="E195" s="5"/>
      <c r="F195" s="5"/>
    </row>
    <row r="196" spans="4:6">
      <c r="D196" s="5"/>
      <c r="E196" s="5"/>
      <c r="F196" s="5"/>
    </row>
    <row r="197" spans="4:6">
      <c r="D197" s="5"/>
      <c r="E197" s="5"/>
      <c r="F197" s="5"/>
    </row>
    <row r="198" spans="4:6">
      <c r="D198" s="5"/>
      <c r="E198" s="5"/>
      <c r="F198" s="5"/>
    </row>
    <row r="199" spans="4:6">
      <c r="D199" s="5"/>
      <c r="E199" s="5"/>
      <c r="F199" s="5"/>
    </row>
    <row r="200" spans="4:6">
      <c r="D200" s="5"/>
      <c r="E200" s="5"/>
      <c r="F200" s="5"/>
    </row>
    <row r="201" spans="4:6">
      <c r="D201" s="5"/>
      <c r="E201" s="5"/>
      <c r="F201" s="5"/>
    </row>
    <row r="202" spans="4:6">
      <c r="D202" s="5"/>
      <c r="E202" s="5"/>
      <c r="F202" s="5"/>
    </row>
    <row r="203" spans="4:6">
      <c r="D203" s="5"/>
      <c r="E203" s="5"/>
      <c r="F203" s="5"/>
    </row>
    <row r="204" spans="4:6">
      <c r="D204" s="5"/>
      <c r="E204" s="5"/>
      <c r="F204" s="5"/>
    </row>
    <row r="205" spans="4:6">
      <c r="D205" s="5"/>
      <c r="E205" s="5"/>
      <c r="F205" s="5"/>
    </row>
    <row r="206" spans="4:6">
      <c r="D206" s="5"/>
      <c r="E206" s="5"/>
      <c r="F206" s="5"/>
    </row>
    <row r="207" spans="4:6">
      <c r="D207" s="5"/>
      <c r="E207" s="5"/>
      <c r="F207" s="5"/>
    </row>
    <row r="208" spans="4:6">
      <c r="D208" s="5"/>
      <c r="E208" s="5"/>
      <c r="F208" s="5"/>
    </row>
    <row r="209" spans="4:6">
      <c r="D209" s="5"/>
      <c r="E209" s="5"/>
      <c r="F209" s="5"/>
    </row>
    <row r="210" spans="4:6">
      <c r="D210" s="5"/>
      <c r="E210" s="5"/>
      <c r="F210" s="5"/>
    </row>
    <row r="211" spans="4:6">
      <c r="D211" s="5"/>
      <c r="E211" s="5"/>
      <c r="F211" s="5"/>
    </row>
    <row r="212" spans="4:6">
      <c r="D212" s="5"/>
      <c r="E212" s="5"/>
      <c r="F212" s="5"/>
    </row>
    <row r="213" spans="4:6">
      <c r="D213" s="5"/>
      <c r="E213" s="5"/>
      <c r="F213" s="5"/>
    </row>
    <row r="214" spans="4:6">
      <c r="D214" s="5"/>
      <c r="E214" s="5"/>
      <c r="F214" s="5"/>
    </row>
    <row r="215" spans="4:6">
      <c r="D215" s="5"/>
      <c r="E215" s="5"/>
      <c r="F215" s="5"/>
    </row>
    <row r="216" spans="4:6">
      <c r="D216" s="5"/>
      <c r="E216" s="5"/>
      <c r="F216" s="5"/>
    </row>
    <row r="217" spans="4:6">
      <c r="D217" s="5"/>
      <c r="E217" s="5"/>
      <c r="F217" s="5"/>
    </row>
    <row r="218" spans="4:6">
      <c r="D218" s="5"/>
      <c r="E218" s="5"/>
      <c r="F218" s="5"/>
    </row>
    <row r="219" spans="4:6">
      <c r="D219" s="5"/>
      <c r="E219" s="5"/>
      <c r="F219" s="5"/>
    </row>
    <row r="220" spans="4:6">
      <c r="D220" s="5"/>
      <c r="E220" s="5"/>
      <c r="F220" s="5"/>
    </row>
    <row r="221" spans="4:6">
      <c r="D221" s="5"/>
      <c r="E221" s="5"/>
      <c r="F221" s="5"/>
    </row>
    <row r="222" spans="4:6">
      <c r="D222" s="5"/>
      <c r="E222" s="5"/>
      <c r="F222" s="5"/>
    </row>
    <row r="223" spans="4:6">
      <c r="D223" s="5"/>
      <c r="E223" s="5"/>
      <c r="F223" s="5"/>
    </row>
    <row r="224" spans="4:6">
      <c r="D224" s="5"/>
      <c r="E224" s="5"/>
      <c r="F224" s="5"/>
    </row>
    <row r="225" spans="4:6">
      <c r="D225" s="5"/>
      <c r="E225" s="5"/>
      <c r="F225" s="5"/>
    </row>
    <row r="226" spans="4:6">
      <c r="D226" s="5"/>
      <c r="E226" s="5"/>
      <c r="F226" s="5"/>
    </row>
    <row r="227" spans="4:6">
      <c r="D227" s="5"/>
      <c r="E227" s="5"/>
      <c r="F227" s="5"/>
    </row>
    <row r="228" spans="4:6">
      <c r="D228" s="5"/>
      <c r="E228" s="5"/>
      <c r="F228" s="5"/>
    </row>
    <row r="229" spans="4:6">
      <c r="D229" s="5"/>
      <c r="E229" s="5"/>
      <c r="F229" s="5"/>
    </row>
    <row r="230" spans="4:6">
      <c r="D230" s="5"/>
      <c r="E230" s="5"/>
      <c r="F230" s="5"/>
    </row>
    <row r="231" spans="4:6">
      <c r="D231" s="5"/>
      <c r="E231" s="5"/>
      <c r="F231" s="5"/>
    </row>
    <row r="232" spans="4:6">
      <c r="D232" s="5"/>
      <c r="E232" s="5"/>
      <c r="F232" s="5"/>
    </row>
    <row r="233" spans="4:6">
      <c r="D233" s="5"/>
      <c r="E233" s="5"/>
      <c r="F233" s="5"/>
    </row>
    <row r="234" spans="4:6">
      <c r="D234" s="5"/>
      <c r="E234" s="5"/>
      <c r="F234" s="5"/>
    </row>
    <row r="235" spans="4:6">
      <c r="D235" s="5"/>
      <c r="E235" s="5"/>
      <c r="F235" s="5"/>
    </row>
    <row r="236" spans="4:6">
      <c r="D236" s="5"/>
      <c r="E236" s="5"/>
      <c r="F236" s="5"/>
    </row>
    <row r="237" spans="4:6">
      <c r="D237" s="5"/>
      <c r="E237" s="5"/>
      <c r="F237" s="5"/>
    </row>
    <row r="238" spans="4:6">
      <c r="D238" s="5"/>
      <c r="E238" s="5"/>
      <c r="F238" s="5"/>
    </row>
    <row r="239" spans="4:6">
      <c r="D239" s="5"/>
      <c r="E239" s="5"/>
      <c r="F239" s="5"/>
    </row>
    <row r="240" spans="4:6">
      <c r="D240" s="5"/>
      <c r="E240" s="5"/>
      <c r="F240" s="5"/>
    </row>
    <row r="241" spans="4:6">
      <c r="D241" s="5"/>
      <c r="E241" s="5"/>
      <c r="F241" s="5"/>
    </row>
    <row r="242" spans="4:6">
      <c r="D242" s="5"/>
      <c r="E242" s="5"/>
      <c r="F242" s="5"/>
    </row>
    <row r="243" spans="4:6">
      <c r="D243" s="5"/>
      <c r="E243" s="5"/>
      <c r="F243" s="5"/>
    </row>
    <row r="244" spans="4:6">
      <c r="D244" s="5"/>
      <c r="E244" s="5"/>
      <c r="F244" s="5"/>
    </row>
    <row r="245" spans="4:6">
      <c r="D245" s="5"/>
      <c r="E245" s="5"/>
      <c r="F245" s="5"/>
    </row>
    <row r="246" spans="4:6">
      <c r="D246" s="5"/>
      <c r="E246" s="5"/>
      <c r="F246" s="5"/>
    </row>
    <row r="247" spans="4:6">
      <c r="D247" s="5"/>
      <c r="E247" s="5"/>
      <c r="F247" s="5"/>
    </row>
    <row r="248" spans="4:6">
      <c r="D248" s="5"/>
      <c r="E248" s="5"/>
      <c r="F248" s="5"/>
    </row>
    <row r="249" spans="4:6">
      <c r="D249" s="5"/>
      <c r="E249" s="5"/>
      <c r="F249" s="5"/>
    </row>
    <row r="250" spans="4:6">
      <c r="D250" s="5"/>
      <c r="E250" s="5"/>
      <c r="F250" s="5"/>
    </row>
    <row r="251" spans="4:6">
      <c r="D251" s="5"/>
      <c r="E251" s="5"/>
      <c r="F251" s="5"/>
    </row>
    <row r="252" spans="4:6">
      <c r="D252" s="5"/>
      <c r="E252" s="5"/>
      <c r="F252" s="5"/>
    </row>
    <row r="253" spans="4:6">
      <c r="D253" s="5"/>
      <c r="E253" s="5"/>
      <c r="F253" s="5"/>
    </row>
    <row r="254" spans="4:6">
      <c r="D254" s="5"/>
      <c r="E254" s="5"/>
      <c r="F254" s="5"/>
    </row>
    <row r="255" spans="4:6">
      <c r="D255" s="5"/>
      <c r="E255" s="5"/>
      <c r="F255" s="5"/>
    </row>
    <row r="256" spans="4:6">
      <c r="D256" s="5"/>
      <c r="E256" s="5"/>
      <c r="F256" s="5"/>
    </row>
    <row r="257" spans="4:6">
      <c r="D257" s="5"/>
      <c r="E257" s="5"/>
      <c r="F257" s="5"/>
    </row>
    <row r="258" spans="4:6">
      <c r="D258" s="5"/>
      <c r="E258" s="5"/>
      <c r="F258" s="5"/>
    </row>
    <row r="259" spans="4:6">
      <c r="D259" s="5"/>
      <c r="E259" s="5"/>
      <c r="F259" s="5"/>
    </row>
    <row r="260" spans="4:6">
      <c r="D260" s="5"/>
      <c r="E260" s="5"/>
      <c r="F260" s="5"/>
    </row>
    <row r="261" spans="4:6">
      <c r="D261" s="5"/>
      <c r="E261" s="5"/>
      <c r="F261" s="5"/>
    </row>
    <row r="262" spans="4:6">
      <c r="D262" s="5"/>
      <c r="E262" s="5"/>
      <c r="F262" s="5"/>
    </row>
    <row r="263" spans="4:6">
      <c r="D263" s="5"/>
      <c r="E263" s="5"/>
      <c r="F263" s="5"/>
    </row>
    <row r="264" spans="4:6">
      <c r="D264" s="5"/>
      <c r="E264" s="5"/>
      <c r="F264" s="5"/>
    </row>
    <row r="265" spans="4:6">
      <c r="D265" s="5"/>
      <c r="E265" s="5"/>
      <c r="F265" s="5"/>
    </row>
    <row r="266" spans="4:6">
      <c r="D266" s="5"/>
      <c r="E266" s="5"/>
      <c r="F266" s="5"/>
    </row>
    <row r="267" spans="4:6">
      <c r="D267" s="5"/>
      <c r="E267" s="5"/>
      <c r="F267" s="5"/>
    </row>
    <row r="268" spans="4:6">
      <c r="D268" s="5"/>
      <c r="E268" s="5"/>
      <c r="F268" s="5"/>
    </row>
    <row r="269" spans="4:6">
      <c r="D269" s="5"/>
      <c r="E269" s="5"/>
      <c r="F269" s="5"/>
    </row>
    <row r="270" spans="4:6">
      <c r="D270" s="5"/>
      <c r="E270" s="5"/>
      <c r="F270" s="5"/>
    </row>
    <row r="271" spans="4:6">
      <c r="D271" s="5"/>
      <c r="E271" s="5"/>
      <c r="F271" s="5"/>
    </row>
    <row r="272" spans="4:6">
      <c r="D272" s="5"/>
      <c r="E272" s="5"/>
      <c r="F272" s="5"/>
    </row>
    <row r="273" spans="4:6">
      <c r="D273" s="5"/>
      <c r="E273" s="5"/>
      <c r="F273" s="5"/>
    </row>
    <row r="274" spans="4:6">
      <c r="D274" s="5"/>
      <c r="E274" s="5"/>
      <c r="F274" s="5"/>
    </row>
    <row r="275" spans="4:6">
      <c r="D275" s="5"/>
      <c r="E275" s="5"/>
      <c r="F275" s="5"/>
    </row>
    <row r="276" spans="4:6">
      <c r="D276" s="5"/>
      <c r="E276" s="5"/>
      <c r="F276" s="5"/>
    </row>
    <row r="277" spans="4:6">
      <c r="D277" s="5"/>
      <c r="E277" s="5"/>
      <c r="F277" s="5"/>
    </row>
    <row r="278" spans="4:6">
      <c r="D278" s="5"/>
      <c r="E278" s="5"/>
      <c r="F278" s="5"/>
    </row>
    <row r="279" spans="4:6">
      <c r="D279" s="5"/>
      <c r="E279" s="5"/>
      <c r="F279" s="5"/>
    </row>
    <row r="280" spans="4:6">
      <c r="D280" s="5"/>
      <c r="E280" s="5"/>
      <c r="F280" s="5"/>
    </row>
    <row r="281" spans="4:6">
      <c r="D281" s="5"/>
      <c r="E281" s="5"/>
      <c r="F281" s="5"/>
    </row>
    <row r="282" spans="4:6">
      <c r="D282" s="5"/>
      <c r="E282" s="5"/>
      <c r="F282" s="5"/>
    </row>
    <row r="283" spans="4:6">
      <c r="D283" s="5"/>
      <c r="E283" s="5"/>
      <c r="F283" s="5"/>
    </row>
    <row r="284" spans="4:6">
      <c r="D284" s="5"/>
      <c r="E284" s="5"/>
      <c r="F284" s="5"/>
    </row>
    <row r="285" spans="4:6">
      <c r="D285" s="5"/>
      <c r="E285" s="5"/>
      <c r="F285" s="5"/>
    </row>
    <row r="286" spans="4:6">
      <c r="D286" s="5"/>
      <c r="E286" s="5"/>
      <c r="F286" s="5"/>
    </row>
    <row r="287" spans="4:6">
      <c r="D287" s="5"/>
      <c r="E287" s="5"/>
      <c r="F287" s="5"/>
    </row>
    <row r="288" spans="4:6">
      <c r="D288" s="5"/>
      <c r="E288" s="5"/>
      <c r="F288" s="5"/>
    </row>
    <row r="289" spans="4:6">
      <c r="D289" s="5"/>
      <c r="E289" s="5"/>
      <c r="F289" s="5"/>
    </row>
    <row r="290" spans="4:6">
      <c r="D290" s="5"/>
      <c r="E290" s="5"/>
      <c r="F290" s="5"/>
    </row>
    <row r="291" spans="4:6">
      <c r="D291" s="5"/>
      <c r="E291" s="5"/>
      <c r="F291" s="5"/>
    </row>
    <row r="292" spans="4:6">
      <c r="D292" s="5"/>
      <c r="E292" s="5"/>
      <c r="F292" s="5"/>
    </row>
    <row r="293" spans="4:6">
      <c r="D293" s="5"/>
      <c r="E293" s="5"/>
      <c r="F293" s="5"/>
    </row>
    <row r="294" spans="4:6">
      <c r="D294" s="5"/>
      <c r="E294" s="5"/>
      <c r="F294" s="5"/>
    </row>
    <row r="295" spans="4:6">
      <c r="D295" s="5"/>
      <c r="E295" s="5"/>
      <c r="F295" s="5"/>
    </row>
    <row r="296" spans="4:6">
      <c r="D296" s="5"/>
      <c r="E296" s="5"/>
      <c r="F296" s="5"/>
    </row>
    <row r="297" spans="4:6">
      <c r="D297" s="5"/>
      <c r="E297" s="5"/>
      <c r="F297" s="5"/>
    </row>
    <row r="298" spans="4:6">
      <c r="D298" s="5"/>
      <c r="E298" s="5"/>
      <c r="F298" s="5"/>
    </row>
    <row r="299" spans="4:6">
      <c r="D299" s="5"/>
      <c r="E299" s="5"/>
      <c r="F299" s="5"/>
    </row>
    <row r="300" spans="4:6">
      <c r="D300" s="5"/>
      <c r="E300" s="5"/>
      <c r="F300" s="5"/>
    </row>
    <row r="301" spans="4:6">
      <c r="D301" s="5"/>
      <c r="E301" s="5"/>
      <c r="F301" s="5"/>
    </row>
    <row r="302" spans="4:6">
      <c r="D302" s="5"/>
      <c r="E302" s="5"/>
      <c r="F302" s="5"/>
    </row>
    <row r="303" spans="4:6">
      <c r="D303" s="5"/>
      <c r="E303" s="5"/>
      <c r="F303" s="5"/>
    </row>
    <row r="304" spans="4:6">
      <c r="D304" s="5"/>
      <c r="E304" s="5"/>
      <c r="F304" s="5"/>
    </row>
    <row r="305" spans="4:6">
      <c r="D305" s="5"/>
      <c r="E305" s="5"/>
      <c r="F305" s="5"/>
    </row>
    <row r="306" spans="4:6">
      <c r="D306" s="5"/>
      <c r="E306" s="5"/>
      <c r="F306" s="5"/>
    </row>
    <row r="307" spans="4:6">
      <c r="D307" s="5"/>
      <c r="E307" s="5"/>
      <c r="F307" s="5"/>
    </row>
    <row r="308" spans="4:6">
      <c r="D308" s="5"/>
      <c r="E308" s="5"/>
      <c r="F308" s="5"/>
    </row>
    <row r="309" spans="4:6">
      <c r="D309" s="5"/>
      <c r="E309" s="5"/>
      <c r="F309" s="5"/>
    </row>
    <row r="310" spans="4:6">
      <c r="D310" s="5"/>
      <c r="E310" s="5"/>
      <c r="F310" s="5"/>
    </row>
    <row r="311" spans="4:6">
      <c r="D311" s="5"/>
      <c r="E311" s="5"/>
      <c r="F311" s="5"/>
    </row>
    <row r="312" spans="4:6">
      <c r="D312" s="5"/>
      <c r="E312" s="5"/>
      <c r="F312" s="5"/>
    </row>
    <row r="313" spans="4:6">
      <c r="D313" s="5"/>
      <c r="E313" s="5"/>
      <c r="F313" s="5"/>
    </row>
    <row r="314" spans="4:6">
      <c r="D314" s="5"/>
      <c r="E314" s="5"/>
      <c r="F314" s="5"/>
    </row>
    <row r="315" spans="4:6">
      <c r="D315" s="5"/>
      <c r="E315" s="5"/>
      <c r="F315" s="5"/>
    </row>
    <row r="316" spans="4:6">
      <c r="D316" s="5"/>
      <c r="E316" s="5"/>
      <c r="F316" s="5"/>
    </row>
    <row r="317" spans="4:6">
      <c r="D317" s="5"/>
      <c r="E317" s="5"/>
      <c r="F317" s="5"/>
    </row>
    <row r="318" spans="4:6">
      <c r="D318" s="5"/>
      <c r="E318" s="5"/>
      <c r="F318" s="5"/>
    </row>
    <row r="319" spans="4:6">
      <c r="D319" s="5"/>
      <c r="E319" s="5"/>
      <c r="F319" s="5"/>
    </row>
    <row r="320" spans="4:6">
      <c r="D320" s="5"/>
      <c r="E320" s="5"/>
      <c r="F320" s="5"/>
    </row>
    <row r="321" spans="4:6">
      <c r="D321" s="5"/>
      <c r="E321" s="5"/>
      <c r="F321" s="5"/>
    </row>
    <row r="322" spans="4:6">
      <c r="D322" s="5"/>
      <c r="E322" s="5"/>
      <c r="F322" s="5"/>
    </row>
    <row r="323" spans="4:6">
      <c r="D323" s="5"/>
      <c r="E323" s="5"/>
      <c r="F323" s="5"/>
    </row>
    <row r="324" spans="4:6">
      <c r="D324" s="5"/>
      <c r="E324" s="5"/>
      <c r="F324" s="5"/>
    </row>
    <row r="325" spans="4:6">
      <c r="D325" s="5"/>
      <c r="E325" s="5"/>
      <c r="F325" s="5"/>
    </row>
    <row r="326" spans="4:6">
      <c r="D326" s="5"/>
      <c r="E326" s="5"/>
      <c r="F326" s="5"/>
    </row>
    <row r="327" spans="4:6">
      <c r="D327" s="5"/>
      <c r="E327" s="5"/>
      <c r="F327" s="5"/>
    </row>
    <row r="328" spans="4:6">
      <c r="D328" s="5"/>
      <c r="E328" s="5"/>
      <c r="F328" s="5"/>
    </row>
    <row r="329" spans="4:6">
      <c r="D329" s="5"/>
      <c r="E329" s="5"/>
      <c r="F329" s="5"/>
    </row>
    <row r="330" spans="4:6">
      <c r="D330" s="5"/>
      <c r="E330" s="5"/>
      <c r="F330" s="5"/>
    </row>
    <row r="331" spans="4:6">
      <c r="D331" s="5"/>
      <c r="E331" s="5"/>
      <c r="F331" s="5"/>
    </row>
    <row r="332" spans="4:6">
      <c r="D332" s="5"/>
      <c r="E332" s="5"/>
      <c r="F332" s="5"/>
    </row>
    <row r="333" spans="4:6">
      <c r="D333" s="5"/>
      <c r="E333" s="5"/>
      <c r="F333" s="5"/>
    </row>
    <row r="334" spans="4:6">
      <c r="D334" s="5"/>
      <c r="E334" s="5"/>
      <c r="F334" s="5"/>
    </row>
    <row r="335" spans="4:6">
      <c r="D335" s="5"/>
      <c r="E335" s="5"/>
      <c r="F335" s="5"/>
    </row>
    <row r="336" spans="4:6">
      <c r="D336" s="5"/>
      <c r="E336" s="5"/>
      <c r="F336" s="5"/>
    </row>
    <row r="337" spans="4:6">
      <c r="D337" s="5"/>
      <c r="E337" s="5"/>
      <c r="F337" s="5"/>
    </row>
    <row r="338" spans="4:6">
      <c r="D338" s="5"/>
      <c r="E338" s="5"/>
      <c r="F338" s="5"/>
    </row>
    <row r="339" spans="4:6">
      <c r="D339" s="5"/>
      <c r="E339" s="5"/>
      <c r="F339" s="5"/>
    </row>
    <row r="340" spans="4:6">
      <c r="D340" s="5"/>
      <c r="E340" s="5"/>
      <c r="F340" s="5"/>
    </row>
    <row r="341" spans="4:6">
      <c r="D341" s="5"/>
      <c r="E341" s="5"/>
      <c r="F341" s="5"/>
    </row>
    <row r="342" spans="4:6">
      <c r="D342" s="5"/>
      <c r="E342" s="5"/>
      <c r="F342" s="5"/>
    </row>
    <row r="343" spans="4:6">
      <c r="D343" s="5"/>
      <c r="E343" s="5"/>
      <c r="F343" s="5"/>
    </row>
    <row r="344" spans="4:6">
      <c r="D344" s="5"/>
      <c r="E344" s="5"/>
      <c r="F344" s="5"/>
    </row>
    <row r="345" spans="4:6">
      <c r="D345" s="5"/>
      <c r="E345" s="5"/>
      <c r="F345" s="5"/>
    </row>
    <row r="346" spans="4:6">
      <c r="D346" s="5"/>
      <c r="E346" s="5"/>
      <c r="F346" s="5"/>
    </row>
    <row r="347" spans="4:6">
      <c r="D347" s="5"/>
      <c r="E347" s="5"/>
      <c r="F347" s="5"/>
    </row>
    <row r="348" spans="4:6">
      <c r="D348" s="5"/>
      <c r="E348" s="5"/>
      <c r="F348" s="5"/>
    </row>
    <row r="349" spans="4:6">
      <c r="D349" s="5"/>
      <c r="E349" s="5"/>
      <c r="F349" s="5"/>
    </row>
    <row r="350" spans="4:6">
      <c r="D350" s="5"/>
      <c r="E350" s="5"/>
      <c r="F350" s="5"/>
    </row>
    <row r="351" spans="4:6">
      <c r="D351" s="5"/>
      <c r="E351" s="5"/>
      <c r="F351" s="5"/>
    </row>
    <row r="352" spans="4:6">
      <c r="D352" s="5"/>
      <c r="E352" s="5"/>
      <c r="F352" s="5"/>
    </row>
    <row r="353" spans="4:6">
      <c r="D353" s="5"/>
      <c r="E353" s="5"/>
      <c r="F353" s="5"/>
    </row>
    <row r="354" spans="4:6">
      <c r="D354" s="5"/>
      <c r="E354" s="5"/>
      <c r="F354" s="5"/>
    </row>
    <row r="355" spans="4:6">
      <c r="D355" s="5"/>
      <c r="E355" s="5"/>
      <c r="F355" s="5"/>
    </row>
    <row r="356" spans="4:6">
      <c r="D356" s="5"/>
      <c r="E356" s="5"/>
      <c r="F356" s="5"/>
    </row>
    <row r="357" spans="4:6">
      <c r="D357" s="5"/>
      <c r="E357" s="5"/>
      <c r="F357" s="5"/>
    </row>
    <row r="358" spans="4:6">
      <c r="D358" s="5"/>
      <c r="E358" s="5"/>
      <c r="F358" s="5"/>
    </row>
  </sheetData>
  <mergeCells count="4">
    <mergeCell ref="A4:U4"/>
    <mergeCell ref="A5:U5"/>
    <mergeCell ref="A6:U6"/>
    <mergeCell ref="A7:G7"/>
  </mergeCells>
  <phoneticPr fontId="5" type="noConversion"/>
  <pageMargins left="0.75" right="0.75" top="1" bottom="1" header="0.5" footer="0.5"/>
  <pageSetup scale="49" orientation="landscape"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tabColor indexed="17"/>
    <pageSetUpPr fitToPage="1"/>
  </sheetPr>
  <dimension ref="A1:P391"/>
  <sheetViews>
    <sheetView zoomScale="80" workbookViewId="0">
      <selection activeCell="G48" sqref="G48"/>
    </sheetView>
  </sheetViews>
  <sheetFormatPr defaultRowHeight="12.75"/>
  <cols>
    <col min="1" max="1" width="4.5703125" bestFit="1" customWidth="1"/>
    <col min="2" max="2" width="26.7109375" customWidth="1"/>
    <col min="3" max="3" width="10.42578125" style="16" customWidth="1"/>
    <col min="4" max="4" width="13.5703125" bestFit="1" customWidth="1"/>
    <col min="5" max="5" width="7.85546875" bestFit="1" customWidth="1"/>
    <col min="6" max="6" width="15.85546875" customWidth="1"/>
    <col min="7" max="7" width="26.140625" customWidth="1"/>
    <col min="8" max="8" width="25.85546875" bestFit="1" customWidth="1"/>
    <col min="9" max="9" width="25.85546875" customWidth="1"/>
    <col min="10" max="10" width="25.85546875" bestFit="1" customWidth="1"/>
    <col min="11" max="11" width="16.42578125" customWidth="1"/>
    <col min="12" max="12" width="15.5703125" bestFit="1" customWidth="1"/>
    <col min="13" max="13" width="25.85546875" bestFit="1" customWidth="1"/>
    <col min="14" max="14" width="15.7109375" customWidth="1"/>
    <col min="15" max="15" width="12.28515625" bestFit="1" customWidth="1"/>
    <col min="16" max="16" width="14.7109375" bestFit="1" customWidth="1"/>
  </cols>
  <sheetData>
    <row r="1" spans="1:16">
      <c r="O1" t="str">
        <f>A!D1</f>
        <v>Docket No. RP16-299-000</v>
      </c>
    </row>
    <row r="2" spans="1:16">
      <c r="O2" t="s">
        <v>424</v>
      </c>
    </row>
    <row r="4" spans="1:16">
      <c r="A4" s="927" t="e">
        <f>#REF!</f>
        <v>#REF!</v>
      </c>
      <c r="B4" s="927"/>
      <c r="C4" s="927"/>
      <c r="D4" s="927"/>
      <c r="E4" s="927"/>
      <c r="F4" s="927"/>
      <c r="G4" s="927"/>
      <c r="H4" s="927"/>
      <c r="I4" s="927"/>
      <c r="J4" s="927"/>
      <c r="K4" s="927"/>
      <c r="L4" s="927"/>
      <c r="M4" s="927"/>
      <c r="N4" s="927"/>
      <c r="O4" s="927"/>
      <c r="P4" s="927"/>
    </row>
    <row r="5" spans="1:16">
      <c r="A5" s="927" t="s">
        <v>686</v>
      </c>
      <c r="B5" s="927"/>
      <c r="C5" s="927"/>
      <c r="D5" s="927"/>
      <c r="E5" s="927"/>
      <c r="F5" s="927"/>
      <c r="G5" s="927"/>
      <c r="H5" s="927"/>
      <c r="I5" s="927"/>
      <c r="J5" s="927"/>
      <c r="K5" s="927"/>
      <c r="L5" s="927"/>
      <c r="M5" s="927"/>
      <c r="N5" s="927"/>
      <c r="O5" s="927"/>
      <c r="P5" s="927"/>
    </row>
    <row r="6" spans="1:16">
      <c r="A6" s="928" t="e">
        <f>#REF!</f>
        <v>#REF!</v>
      </c>
      <c r="B6" s="928"/>
      <c r="C6" s="928"/>
      <c r="D6" s="928"/>
      <c r="E6" s="928"/>
      <c r="F6" s="928"/>
      <c r="G6" s="928"/>
      <c r="H6" s="928"/>
      <c r="I6" s="928"/>
      <c r="J6" s="928"/>
      <c r="K6" s="928"/>
      <c r="L6" s="928"/>
      <c r="M6" s="928"/>
      <c r="N6" s="928"/>
      <c r="O6" s="928"/>
      <c r="P6" s="928"/>
    </row>
    <row r="7" spans="1:16">
      <c r="A7" s="927"/>
      <c r="B7" s="927"/>
      <c r="C7" s="927"/>
      <c r="D7" s="927"/>
      <c r="E7" s="927"/>
      <c r="F7" s="927"/>
      <c r="G7" s="927"/>
      <c r="H7" s="927"/>
      <c r="I7" s="927"/>
      <c r="O7" s="2"/>
    </row>
    <row r="8" spans="1:16">
      <c r="A8" s="2"/>
      <c r="B8" s="2"/>
      <c r="C8" s="2"/>
      <c r="D8" s="2"/>
      <c r="E8" s="2"/>
      <c r="F8" s="2"/>
      <c r="O8" s="2"/>
    </row>
    <row r="9" spans="1:16" s="2" customFormat="1">
      <c r="C9" s="14"/>
      <c r="F9" s="2" t="s">
        <v>307</v>
      </c>
      <c r="H9" s="2" t="s">
        <v>676</v>
      </c>
      <c r="I9" s="2" t="s">
        <v>677</v>
      </c>
      <c r="J9" s="2" t="s">
        <v>680</v>
      </c>
      <c r="M9" s="2" t="s">
        <v>368</v>
      </c>
    </row>
    <row r="10" spans="1:16">
      <c r="A10" t="s">
        <v>352</v>
      </c>
      <c r="C10" s="14" t="s">
        <v>426</v>
      </c>
      <c r="D10" s="2" t="s">
        <v>428</v>
      </c>
      <c r="E10" s="36" t="s">
        <v>429</v>
      </c>
      <c r="F10" s="2" t="s">
        <v>308</v>
      </c>
      <c r="G10" s="2" t="s">
        <v>685</v>
      </c>
      <c r="H10" s="2" t="s">
        <v>674</v>
      </c>
      <c r="I10" s="2" t="s">
        <v>678</v>
      </c>
      <c r="J10" s="2" t="s">
        <v>681</v>
      </c>
      <c r="L10" s="2" t="s">
        <v>683</v>
      </c>
      <c r="M10" s="2" t="s">
        <v>684</v>
      </c>
      <c r="N10" s="2" t="s">
        <v>439</v>
      </c>
      <c r="O10" s="2" t="s">
        <v>451</v>
      </c>
      <c r="P10" s="2" t="s">
        <v>452</v>
      </c>
    </row>
    <row r="11" spans="1:16">
      <c r="A11" s="1" t="s">
        <v>353</v>
      </c>
      <c r="B11" s="3" t="s">
        <v>425</v>
      </c>
      <c r="C11" s="33" t="s">
        <v>427</v>
      </c>
      <c r="D11" s="17" t="s">
        <v>240</v>
      </c>
      <c r="E11" s="3" t="s">
        <v>430</v>
      </c>
      <c r="F11" s="3" t="s">
        <v>655</v>
      </c>
      <c r="G11" s="49" t="s">
        <v>654</v>
      </c>
      <c r="H11" s="3" t="s">
        <v>675</v>
      </c>
      <c r="I11" s="3" t="s">
        <v>679</v>
      </c>
      <c r="J11" s="3" t="s">
        <v>675</v>
      </c>
      <c r="K11" s="3" t="s">
        <v>16</v>
      </c>
      <c r="L11" s="3" t="s">
        <v>430</v>
      </c>
      <c r="M11" s="3" t="s">
        <v>675</v>
      </c>
      <c r="N11" s="3" t="s">
        <v>206</v>
      </c>
      <c r="O11" s="3" t="s">
        <v>401</v>
      </c>
      <c r="P11" s="3" t="s">
        <v>39</v>
      </c>
    </row>
    <row r="12" spans="1:16">
      <c r="B12" s="2" t="s">
        <v>361</v>
      </c>
      <c r="C12" s="14" t="s">
        <v>362</v>
      </c>
      <c r="D12" s="2" t="s">
        <v>366</v>
      </c>
      <c r="E12" s="2" t="s">
        <v>363</v>
      </c>
      <c r="F12" s="2" t="s">
        <v>364</v>
      </c>
      <c r="G12" s="2" t="s">
        <v>379</v>
      </c>
      <c r="H12" s="2" t="s">
        <v>380</v>
      </c>
      <c r="I12" s="2" t="s">
        <v>403</v>
      </c>
      <c r="J12" s="2" t="s">
        <v>404</v>
      </c>
      <c r="K12" s="2" t="s">
        <v>351</v>
      </c>
      <c r="L12" s="2" t="s">
        <v>250</v>
      </c>
      <c r="M12" s="2" t="s">
        <v>254</v>
      </c>
      <c r="N12" s="2" t="s">
        <v>313</v>
      </c>
      <c r="O12" s="2" t="s">
        <v>314</v>
      </c>
      <c r="P12" s="2" t="s">
        <v>315</v>
      </c>
    </row>
    <row r="13" spans="1:16">
      <c r="C13" s="14"/>
      <c r="D13" s="2"/>
      <c r="E13" s="2" t="s">
        <v>42</v>
      </c>
      <c r="F13" s="2" t="s">
        <v>365</v>
      </c>
      <c r="G13" s="2" t="s">
        <v>365</v>
      </c>
      <c r="H13" s="2"/>
      <c r="I13" s="2"/>
      <c r="J13" s="2" t="s">
        <v>365</v>
      </c>
      <c r="K13" s="2" t="s">
        <v>365</v>
      </c>
      <c r="L13" s="2" t="s">
        <v>42</v>
      </c>
      <c r="M13" s="2"/>
      <c r="N13" s="2" t="s">
        <v>365</v>
      </c>
      <c r="O13" s="2" t="s">
        <v>365</v>
      </c>
      <c r="P13" s="2" t="s">
        <v>365</v>
      </c>
    </row>
    <row r="14" spans="1:16">
      <c r="A14">
        <v>1</v>
      </c>
      <c r="B14" s="37" t="s">
        <v>354</v>
      </c>
      <c r="C14" s="41"/>
      <c r="D14" s="39"/>
      <c r="E14" s="39"/>
      <c r="F14" s="5"/>
      <c r="G14" s="5"/>
      <c r="H14" s="5"/>
      <c r="I14" s="5"/>
      <c r="J14" s="5"/>
      <c r="K14" s="5"/>
      <c r="L14" s="39"/>
      <c r="M14" s="39"/>
      <c r="N14" s="5"/>
      <c r="O14" s="5"/>
      <c r="P14" s="5"/>
    </row>
    <row r="15" spans="1:16">
      <c r="A15">
        <f>A14+1</f>
        <v>2</v>
      </c>
      <c r="B15" s="76" t="s">
        <v>670</v>
      </c>
      <c r="C15" s="329">
        <v>35054</v>
      </c>
      <c r="D15" s="329">
        <v>40533</v>
      </c>
      <c r="E15" s="334">
        <v>7.1300000000000002E-2</v>
      </c>
      <c r="F15" s="256">
        <v>91700000</v>
      </c>
      <c r="G15" s="266">
        <v>48215860</v>
      </c>
      <c r="H15" s="336">
        <f>52/360</f>
        <v>0.14444444444444443</v>
      </c>
      <c r="I15" s="68">
        <f>G15*H15*E15</f>
        <v>496569.78482222214</v>
      </c>
      <c r="J15" s="256">
        <f>35433*(I15/(I15+I16))</f>
        <v>8005.5109473127513</v>
      </c>
      <c r="K15" s="5">
        <f>I15+J15</f>
        <v>504575.29576953489</v>
      </c>
      <c r="L15" s="39">
        <f t="shared" ref="L15:L22" si="0">K15/G15</f>
        <v>1.0464923694600385E-2</v>
      </c>
      <c r="M15" s="39"/>
      <c r="N15" s="338"/>
      <c r="O15" s="5"/>
      <c r="P15" s="5">
        <f>SUM(N15:O15)</f>
        <v>0</v>
      </c>
    </row>
    <row r="16" spans="1:16">
      <c r="A16">
        <v>3</v>
      </c>
      <c r="B16" s="76" t="s">
        <v>670</v>
      </c>
      <c r="C16" s="329">
        <v>35054</v>
      </c>
      <c r="D16" s="329">
        <v>40533</v>
      </c>
      <c r="E16" s="334">
        <v>7.1300000000000002E-2</v>
      </c>
      <c r="F16" s="256">
        <v>91700000</v>
      </c>
      <c r="G16" s="266">
        <v>46684470</v>
      </c>
      <c r="H16" s="336">
        <f>184/360</f>
        <v>0.51111111111111107</v>
      </c>
      <c r="I16" s="68">
        <f>G16*H16*E16</f>
        <v>1701285.8300666667</v>
      </c>
      <c r="J16" s="256">
        <f>35433*(I16/(I15+I16))</f>
        <v>27427.489052687251</v>
      </c>
      <c r="K16" s="5">
        <f t="shared" ref="K16:K22" si="1">I16+J16</f>
        <v>1728713.319119354</v>
      </c>
      <c r="L16" s="39">
        <f t="shared" si="0"/>
        <v>3.7029729996278293E-2</v>
      </c>
      <c r="M16" s="39">
        <f>SUM(L15:L16)</f>
        <v>4.7494653690878678E-2</v>
      </c>
      <c r="N16" s="338"/>
      <c r="O16" s="5"/>
      <c r="P16" s="5"/>
    </row>
    <row r="17" spans="1:16">
      <c r="A17">
        <v>4</v>
      </c>
      <c r="B17" s="76" t="s">
        <v>671</v>
      </c>
      <c r="C17" s="323">
        <v>36881</v>
      </c>
      <c r="D17" s="323">
        <v>40533</v>
      </c>
      <c r="E17" s="335">
        <v>7.9899999999999999E-2</v>
      </c>
      <c r="F17" s="279">
        <v>8000000</v>
      </c>
      <c r="G17" s="266">
        <v>4439864</v>
      </c>
      <c r="H17" s="336">
        <f>52/360</f>
        <v>0.14444444444444443</v>
      </c>
      <c r="I17" s="68">
        <f t="shared" ref="I17:I22" si="2">G17*H17*E17</f>
        <v>51240.963742222215</v>
      </c>
      <c r="J17" s="256">
        <f>19584*(I17/(I17+I18))</f>
        <v>4546.54534197269</v>
      </c>
      <c r="K17" s="5">
        <f t="shared" si="1"/>
        <v>55787.509084194906</v>
      </c>
      <c r="L17" s="39">
        <f t="shared" si="0"/>
        <v>1.2565139176379031E-2</v>
      </c>
      <c r="M17" s="39"/>
      <c r="N17" s="338"/>
      <c r="O17" s="5"/>
      <c r="P17" s="5">
        <f>SUM(N17:O17)</f>
        <v>0</v>
      </c>
    </row>
    <row r="18" spans="1:16">
      <c r="A18">
        <v>5</v>
      </c>
      <c r="B18" s="76" t="s">
        <v>671</v>
      </c>
      <c r="C18" s="323">
        <v>36881</v>
      </c>
      <c r="D18" s="323">
        <v>40533</v>
      </c>
      <c r="E18" s="335">
        <v>7.9899999999999999E-2</v>
      </c>
      <c r="F18" s="279">
        <v>8000000</v>
      </c>
      <c r="G18" s="266">
        <v>4149999</v>
      </c>
      <c r="H18" s="336">
        <f>184/360</f>
        <v>0.51111111111111107</v>
      </c>
      <c r="I18" s="68">
        <f t="shared" si="2"/>
        <v>169476.73693999997</v>
      </c>
      <c r="J18" s="256">
        <f>19584*(I18/(I17+I18))</f>
        <v>15037.454658027309</v>
      </c>
      <c r="K18" s="5">
        <f t="shared" si="1"/>
        <v>184514.19159802728</v>
      </c>
      <c r="L18" s="39">
        <f t="shared" si="0"/>
        <v>4.446126170103349E-2</v>
      </c>
      <c r="M18" s="39">
        <f>SUM(L17:L18)</f>
        <v>5.7026400877412523E-2</v>
      </c>
      <c r="N18" s="338"/>
      <c r="O18" s="5"/>
      <c r="P18" s="5">
        <f>SUM(N18:O18)</f>
        <v>0</v>
      </c>
    </row>
    <row r="19" spans="1:16">
      <c r="A19">
        <v>6</v>
      </c>
      <c r="B19" s="76" t="s">
        <v>672</v>
      </c>
      <c r="C19" s="323">
        <v>37330</v>
      </c>
      <c r="D19" s="323">
        <v>41264</v>
      </c>
      <c r="E19" s="335">
        <v>6.8900000000000003E-2</v>
      </c>
      <c r="F19" s="279">
        <v>10000000</v>
      </c>
      <c r="G19" s="266">
        <v>4689407</v>
      </c>
      <c r="H19" s="336">
        <f>52/360</f>
        <v>0.14444444444444443</v>
      </c>
      <c r="I19" s="68">
        <f t="shared" si="2"/>
        <v>46670.02055444444</v>
      </c>
      <c r="J19" s="256">
        <f>35124*(I19/(I19+I20+I21))</f>
        <v>5658.0778691520172</v>
      </c>
      <c r="K19" s="5">
        <f t="shared" si="1"/>
        <v>52328.098423596457</v>
      </c>
      <c r="L19" s="39">
        <f t="shared" si="0"/>
        <v>1.115878797118622E-2</v>
      </c>
      <c r="M19" s="39"/>
      <c r="N19" s="338"/>
      <c r="O19" s="5"/>
      <c r="P19" s="5">
        <f>SUM(N19:O19)</f>
        <v>0</v>
      </c>
    </row>
    <row r="20" spans="1:16">
      <c r="A20">
        <v>7</v>
      </c>
      <c r="B20" s="76" t="s">
        <v>672</v>
      </c>
      <c r="C20" s="323">
        <v>37330</v>
      </c>
      <c r="D20" s="323">
        <v>41264</v>
      </c>
      <c r="E20" s="335">
        <v>6.8900000000000003E-2</v>
      </c>
      <c r="F20" s="279">
        <v>10000000</v>
      </c>
      <c r="G20" s="266">
        <v>4284474</v>
      </c>
      <c r="H20" s="336">
        <f>184/360</f>
        <v>0.51111111111111107</v>
      </c>
      <c r="I20" s="68">
        <f t="shared" si="2"/>
        <v>150880.13217333335</v>
      </c>
      <c r="J20" s="256">
        <f>35124*(I20/(I19+I20+I21))</f>
        <v>18292.075439494758</v>
      </c>
      <c r="K20" s="5">
        <f t="shared" si="1"/>
        <v>169172.20761282812</v>
      </c>
      <c r="L20" s="39">
        <f t="shared" si="0"/>
        <v>3.948494205188971E-2</v>
      </c>
      <c r="M20" s="39"/>
      <c r="N20" s="338"/>
      <c r="O20" s="5"/>
      <c r="P20" s="5">
        <f>SUM(N20:O20)</f>
        <v>0</v>
      </c>
    </row>
    <row r="21" spans="1:16" ht="13.5" customHeight="1">
      <c r="A21">
        <v>8</v>
      </c>
      <c r="B21" s="76" t="s">
        <v>672</v>
      </c>
      <c r="C21" s="323">
        <v>37330</v>
      </c>
      <c r="D21" s="323">
        <v>41264</v>
      </c>
      <c r="E21" s="335">
        <v>6.8900000000000003E-2</v>
      </c>
      <c r="F21" s="279">
        <v>10000000</v>
      </c>
      <c r="G21" s="266">
        <v>3883590</v>
      </c>
      <c r="H21" s="336">
        <f>124/360</f>
        <v>0.34444444444444444</v>
      </c>
      <c r="I21" s="68">
        <f t="shared" si="2"/>
        <v>92166.2209</v>
      </c>
      <c r="J21" s="256">
        <f>35124*(I21/(I19+I20+I21))</f>
        <v>11173.846691353227</v>
      </c>
      <c r="K21" s="5">
        <f t="shared" si="1"/>
        <v>103340.06759135323</v>
      </c>
      <c r="L21" s="39">
        <f t="shared" si="0"/>
        <v>2.6609417469751758E-2</v>
      </c>
      <c r="M21" s="39">
        <f>SUM(L19:L21)</f>
        <v>7.725314749282769E-2</v>
      </c>
      <c r="N21" s="279"/>
      <c r="O21" s="5"/>
      <c r="P21" s="5"/>
    </row>
    <row r="22" spans="1:16">
      <c r="A22">
        <v>9</v>
      </c>
      <c r="B22" s="76" t="s">
        <v>673</v>
      </c>
      <c r="C22" s="329">
        <v>40533</v>
      </c>
      <c r="D22" s="329">
        <v>42968</v>
      </c>
      <c r="E22" s="334">
        <v>3.8199999999999998E-2</v>
      </c>
      <c r="F22" s="256">
        <v>27000000</v>
      </c>
      <c r="G22" s="256">
        <v>27000000</v>
      </c>
      <c r="H22" s="336">
        <f>130/360</f>
        <v>0.3611111111111111</v>
      </c>
      <c r="I22" s="68">
        <f t="shared" si="2"/>
        <v>372450</v>
      </c>
      <c r="J22" s="256">
        <v>8673</v>
      </c>
      <c r="K22" s="5">
        <f t="shared" si="1"/>
        <v>381123</v>
      </c>
      <c r="L22" s="39">
        <f t="shared" si="0"/>
        <v>1.4115666666666667E-2</v>
      </c>
      <c r="M22" s="39">
        <f>L22</f>
        <v>1.4115666666666667E-2</v>
      </c>
      <c r="N22" s="279"/>
      <c r="O22" s="5"/>
      <c r="P22" s="5">
        <f>SUM(N22:O22)</f>
        <v>0</v>
      </c>
    </row>
    <row r="23" spans="1:16" ht="13.5" thickBot="1">
      <c r="A23">
        <v>10</v>
      </c>
      <c r="B23" s="24" t="s">
        <v>356</v>
      </c>
      <c r="C23" s="330"/>
      <c r="D23" s="2"/>
      <c r="F23" s="6"/>
      <c r="G23" s="6"/>
      <c r="H23" s="6"/>
      <c r="I23" s="6">
        <f>SUM(I14:I22)</f>
        <v>3080739.6891988884</v>
      </c>
      <c r="J23" s="6">
        <f>SUM(J14:J22)</f>
        <v>98814.000000000015</v>
      </c>
      <c r="K23" s="6">
        <f>SUM(K15:K22)</f>
        <v>3179553.6891988888</v>
      </c>
      <c r="L23" s="40"/>
      <c r="M23" s="40"/>
      <c r="N23" s="6">
        <f>SUM(N15:N18)</f>
        <v>0</v>
      </c>
      <c r="O23" s="6">
        <f>SUM(O14:O18)</f>
        <v>0</v>
      </c>
      <c r="P23" s="6">
        <f>SUM(P15:P22)</f>
        <v>0</v>
      </c>
    </row>
    <row r="24" spans="1:16" ht="14.25" thickTop="1" thickBot="1">
      <c r="D24" s="5"/>
      <c r="E24" s="5"/>
      <c r="F24" s="29"/>
      <c r="G24" s="29"/>
      <c r="H24" s="29"/>
      <c r="I24" s="29"/>
      <c r="K24" t="s">
        <v>682</v>
      </c>
      <c r="M24" s="337">
        <f>(M16+M18+M21+M22)/4</f>
        <v>4.8972467181946387E-2</v>
      </c>
      <c r="N24" s="186"/>
      <c r="P24" s="40" t="e">
        <f>P23/G23</f>
        <v>#DIV/0!</v>
      </c>
    </row>
    <row r="25" spans="1:16" ht="13.5" thickTop="1">
      <c r="D25" s="5"/>
      <c r="E25" s="5"/>
      <c r="F25" s="29"/>
      <c r="G25" s="29"/>
      <c r="H25" s="29"/>
      <c r="I25" s="29"/>
      <c r="N25" s="12"/>
      <c r="O25" s="73"/>
      <c r="P25" s="12"/>
    </row>
    <row r="26" spans="1:16" ht="15.75">
      <c r="B26" s="25"/>
      <c r="D26" s="5"/>
      <c r="E26" s="5"/>
      <c r="F26" s="29"/>
      <c r="G26" s="29"/>
      <c r="H26" s="29"/>
      <c r="I26" s="29"/>
      <c r="N26" s="5"/>
    </row>
    <row r="27" spans="1:16">
      <c r="A27">
        <v>1</v>
      </c>
      <c r="B27" s="37" t="s">
        <v>354</v>
      </c>
      <c r="C27" s="41"/>
      <c r="D27" s="39"/>
      <c r="E27" s="39"/>
      <c r="F27" s="5"/>
      <c r="G27" s="5"/>
      <c r="H27" s="5"/>
      <c r="I27" s="5"/>
      <c r="J27" s="5"/>
      <c r="K27" s="5"/>
      <c r="L27" s="39"/>
      <c r="M27" s="39"/>
      <c r="N27" s="5"/>
      <c r="O27" s="5"/>
      <c r="P27" s="5"/>
    </row>
    <row r="28" spans="1:16" hidden="1">
      <c r="A28">
        <f>A27+1</f>
        <v>2</v>
      </c>
      <c r="B28" s="76" t="s">
        <v>670</v>
      </c>
      <c r="C28" s="329">
        <v>35054</v>
      </c>
      <c r="D28" s="329">
        <v>40533</v>
      </c>
      <c r="E28" s="334">
        <v>7.1300000000000002E-2</v>
      </c>
      <c r="F28" s="256">
        <v>91700000</v>
      </c>
      <c r="G28" s="266">
        <v>48215860</v>
      </c>
      <c r="H28" s="336">
        <f>52/360</f>
        <v>0.14444444444444443</v>
      </c>
      <c r="I28" s="68">
        <f t="shared" ref="I28:I38" si="3">G28*H28*E28</f>
        <v>496569.78482222214</v>
      </c>
      <c r="J28" s="256">
        <f>35433*(I28/(I28+I29))</f>
        <v>8005.5109473127513</v>
      </c>
      <c r="K28" s="5">
        <f t="shared" ref="K28:K38" si="4">I28+J28</f>
        <v>504575.29576953489</v>
      </c>
      <c r="L28" s="39">
        <f t="shared" ref="L28:L38" si="5">K28/G28</f>
        <v>1.0464923694600385E-2</v>
      </c>
      <c r="M28" s="39"/>
      <c r="N28" s="338"/>
      <c r="O28" s="5"/>
      <c r="P28" s="5">
        <f>SUM(N28:O28)</f>
        <v>0</v>
      </c>
    </row>
    <row r="29" spans="1:16" hidden="1">
      <c r="A29">
        <v>3</v>
      </c>
      <c r="B29" s="76" t="s">
        <v>670</v>
      </c>
      <c r="C29" s="329">
        <v>35054</v>
      </c>
      <c r="D29" s="329">
        <v>40533</v>
      </c>
      <c r="E29" s="334">
        <v>7.1300000000000002E-2</v>
      </c>
      <c r="F29" s="256">
        <v>91700000</v>
      </c>
      <c r="G29" s="266">
        <v>46684470</v>
      </c>
      <c r="H29" s="336">
        <f>184/360</f>
        <v>0.51111111111111107</v>
      </c>
      <c r="I29" s="68">
        <f t="shared" si="3"/>
        <v>1701285.8300666667</v>
      </c>
      <c r="J29" s="256">
        <f>35433*(I29/(I28+I29))</f>
        <v>27427.489052687251</v>
      </c>
      <c r="K29" s="5">
        <f t="shared" si="4"/>
        <v>1728713.319119354</v>
      </c>
      <c r="L29" s="39">
        <f t="shared" si="5"/>
        <v>3.7029729996278293E-2</v>
      </c>
      <c r="M29" s="39">
        <f>SUM(L28:L29)</f>
        <v>4.7494653690878678E-2</v>
      </c>
      <c r="N29" s="338"/>
      <c r="O29" s="5"/>
      <c r="P29" s="5"/>
    </row>
    <row r="30" spans="1:16" s="72" customFormat="1">
      <c r="A30" s="343">
        <v>2</v>
      </c>
      <c r="B30" s="339" t="s">
        <v>670</v>
      </c>
      <c r="C30" s="329">
        <v>35054</v>
      </c>
      <c r="D30" s="329">
        <v>40533</v>
      </c>
      <c r="E30" s="335">
        <v>7.1300000000000002E-2</v>
      </c>
      <c r="F30" s="279">
        <v>91700000</v>
      </c>
      <c r="G30" s="279">
        <f>SUM(G28:G29)/2</f>
        <v>47450165</v>
      </c>
      <c r="H30" s="340">
        <f>(52+184)/360</f>
        <v>0.65555555555555556</v>
      </c>
      <c r="I30" s="106">
        <f t="shared" si="3"/>
        <v>2217873.4345055553</v>
      </c>
      <c r="J30" s="279">
        <f>SUM(J28:J29)</f>
        <v>35433</v>
      </c>
      <c r="K30" s="5">
        <f t="shared" si="4"/>
        <v>2253306.4345055553</v>
      </c>
      <c r="L30" s="39">
        <f>K30/G30</f>
        <v>4.748785245542466E-2</v>
      </c>
      <c r="M30" s="341"/>
      <c r="N30" s="338"/>
      <c r="O30" s="129"/>
      <c r="P30" s="129"/>
    </row>
    <row r="31" spans="1:16" s="72" customFormat="1">
      <c r="A31" s="72">
        <f>A28+1</f>
        <v>3</v>
      </c>
      <c r="B31" s="339" t="s">
        <v>671</v>
      </c>
      <c r="C31" s="323">
        <v>36881</v>
      </c>
      <c r="D31" s="323">
        <v>40533</v>
      </c>
      <c r="E31" s="335">
        <v>7.9899999999999999E-2</v>
      </c>
      <c r="F31" s="279">
        <v>8000000</v>
      </c>
      <c r="G31" s="269">
        <v>4439864</v>
      </c>
      <c r="H31" s="340">
        <f>52/360</f>
        <v>0.14444444444444443</v>
      </c>
      <c r="I31" s="106">
        <f t="shared" si="3"/>
        <v>51240.963742222215</v>
      </c>
      <c r="J31" s="279">
        <f>19584*(I31/(I31+I32))</f>
        <v>4546.54534197269</v>
      </c>
      <c r="K31" s="129">
        <f t="shared" si="4"/>
        <v>55787.509084194906</v>
      </c>
      <c r="L31" s="341">
        <f t="shared" si="5"/>
        <v>1.2565139176379031E-2</v>
      </c>
      <c r="M31" s="341"/>
      <c r="N31" s="338"/>
      <c r="O31" s="129"/>
      <c r="P31" s="129">
        <f>SUM(N31:O31)</f>
        <v>0</v>
      </c>
    </row>
    <row r="32" spans="1:16" s="72" customFormat="1">
      <c r="A32" s="72">
        <f>A31+1</f>
        <v>4</v>
      </c>
      <c r="B32" s="339" t="s">
        <v>671</v>
      </c>
      <c r="C32" s="323">
        <v>36881</v>
      </c>
      <c r="D32" s="323">
        <v>40533</v>
      </c>
      <c r="E32" s="335">
        <v>7.9899999999999999E-2</v>
      </c>
      <c r="F32" s="279">
        <v>8000000</v>
      </c>
      <c r="G32" s="269">
        <v>4149999</v>
      </c>
      <c r="H32" s="340">
        <f>184/360</f>
        <v>0.51111111111111107</v>
      </c>
      <c r="I32" s="106">
        <f t="shared" si="3"/>
        <v>169476.73693999997</v>
      </c>
      <c r="J32" s="279">
        <f>19584*(I32/(I31+I32))</f>
        <v>15037.454658027309</v>
      </c>
      <c r="K32" s="129">
        <f t="shared" si="4"/>
        <v>184514.19159802728</v>
      </c>
      <c r="L32" s="341">
        <f t="shared" si="5"/>
        <v>4.446126170103349E-2</v>
      </c>
      <c r="M32" s="341">
        <f>SUM(L31:L32)</f>
        <v>5.7026400877412523E-2</v>
      </c>
      <c r="N32" s="338"/>
      <c r="O32" s="129"/>
      <c r="P32" s="129">
        <f>SUM(N32:O32)</f>
        <v>0</v>
      </c>
    </row>
    <row r="33" spans="1:16" s="72" customFormat="1">
      <c r="A33" s="72">
        <v>3</v>
      </c>
      <c r="B33" s="339" t="s">
        <v>671</v>
      </c>
      <c r="C33" s="323">
        <v>36881</v>
      </c>
      <c r="D33" s="329">
        <v>40533</v>
      </c>
      <c r="E33" s="335">
        <v>7.9899999999999999E-2</v>
      </c>
      <c r="F33" s="279">
        <v>8000000</v>
      </c>
      <c r="G33" s="279">
        <f>SUM(G31:G32)/2</f>
        <v>4294931.5</v>
      </c>
      <c r="H33" s="340">
        <f>(52+184)/360</f>
        <v>0.65555555555555556</v>
      </c>
      <c r="I33" s="106">
        <f t="shared" si="3"/>
        <v>224963.73982388887</v>
      </c>
      <c r="J33" s="279">
        <f>SUM(J31:J32)</f>
        <v>19584</v>
      </c>
      <c r="K33" s="5">
        <f t="shared" si="4"/>
        <v>244547.73982388887</v>
      </c>
      <c r="L33" s="39">
        <f t="shared" si="5"/>
        <v>5.6938682217373866E-2</v>
      </c>
      <c r="M33" s="341"/>
      <c r="N33" s="338"/>
      <c r="O33" s="129"/>
      <c r="P33" s="129"/>
    </row>
    <row r="34" spans="1:16" s="72" customFormat="1">
      <c r="A34" s="72">
        <f>A31+1</f>
        <v>4</v>
      </c>
      <c r="B34" s="339" t="s">
        <v>672</v>
      </c>
      <c r="C34" s="323">
        <v>37330</v>
      </c>
      <c r="D34" s="323">
        <v>41264</v>
      </c>
      <c r="E34" s="335">
        <v>6.8900000000000003E-2</v>
      </c>
      <c r="F34" s="279">
        <v>10000000</v>
      </c>
      <c r="G34" s="269">
        <v>4689407</v>
      </c>
      <c r="H34" s="340">
        <f>52/360</f>
        <v>0.14444444444444443</v>
      </c>
      <c r="I34" s="106">
        <f t="shared" si="3"/>
        <v>46670.02055444444</v>
      </c>
      <c r="J34" s="279">
        <f>35124*(I34/(I34+I35+I36))</f>
        <v>5658.0778691520172</v>
      </c>
      <c r="K34" s="129">
        <f t="shared" si="4"/>
        <v>52328.098423596457</v>
      </c>
      <c r="L34" s="341">
        <f t="shared" si="5"/>
        <v>1.115878797118622E-2</v>
      </c>
      <c r="M34" s="341"/>
      <c r="N34" s="338"/>
      <c r="O34" s="129"/>
      <c r="P34" s="129">
        <f>SUM(N34:O34)</f>
        <v>0</v>
      </c>
    </row>
    <row r="35" spans="1:16" s="72" customFormat="1">
      <c r="A35" s="72">
        <f>A34+1</f>
        <v>5</v>
      </c>
      <c r="B35" s="339" t="s">
        <v>672</v>
      </c>
      <c r="C35" s="323">
        <v>37330</v>
      </c>
      <c r="D35" s="323">
        <v>41264</v>
      </c>
      <c r="E35" s="335">
        <v>6.8900000000000003E-2</v>
      </c>
      <c r="F35" s="279">
        <v>10000000</v>
      </c>
      <c r="G35" s="269">
        <v>4284474</v>
      </c>
      <c r="H35" s="340">
        <f>184/360</f>
        <v>0.51111111111111107</v>
      </c>
      <c r="I35" s="106">
        <f t="shared" si="3"/>
        <v>150880.13217333335</v>
      </c>
      <c r="J35" s="279">
        <f>35124*(I35/(I34+I35+I36))</f>
        <v>18292.075439494758</v>
      </c>
      <c r="K35" s="129">
        <f t="shared" si="4"/>
        <v>169172.20761282812</v>
      </c>
      <c r="L35" s="341">
        <f t="shared" si="5"/>
        <v>3.948494205188971E-2</v>
      </c>
      <c r="M35" s="341"/>
      <c r="N35" s="338"/>
      <c r="O35" s="129"/>
      <c r="P35" s="129">
        <f>SUM(N35:O35)</f>
        <v>0</v>
      </c>
    </row>
    <row r="36" spans="1:16" s="72" customFormat="1">
      <c r="B36" s="339" t="s">
        <v>672</v>
      </c>
      <c r="C36" s="323">
        <v>37330</v>
      </c>
      <c r="D36" s="323">
        <v>41264</v>
      </c>
      <c r="E36" s="335">
        <v>6.8900000000000003E-2</v>
      </c>
      <c r="F36" s="279">
        <v>10000000</v>
      </c>
      <c r="G36" s="269">
        <v>3883590</v>
      </c>
      <c r="H36" s="340">
        <f>124/360</f>
        <v>0.34444444444444444</v>
      </c>
      <c r="I36" s="106">
        <f t="shared" si="3"/>
        <v>92166.2209</v>
      </c>
      <c r="J36" s="279">
        <f>35124*(I36/(I34+I35+I36))</f>
        <v>11173.846691353227</v>
      </c>
      <c r="K36" s="129">
        <f t="shared" si="4"/>
        <v>103340.06759135323</v>
      </c>
      <c r="L36" s="341">
        <f t="shared" si="5"/>
        <v>2.6609417469751758E-2</v>
      </c>
      <c r="M36" s="341">
        <f>SUM(L34:L36)</f>
        <v>7.725314749282769E-2</v>
      </c>
      <c r="N36" s="279"/>
      <c r="O36" s="129"/>
      <c r="P36" s="129"/>
    </row>
    <row r="37" spans="1:16" s="72" customFormat="1">
      <c r="A37" s="72">
        <v>4</v>
      </c>
      <c r="B37" s="339" t="s">
        <v>672</v>
      </c>
      <c r="C37" s="323">
        <v>37330</v>
      </c>
      <c r="D37" s="323">
        <v>41264</v>
      </c>
      <c r="E37" s="335">
        <v>6.8900000000000003E-2</v>
      </c>
      <c r="F37" s="279">
        <v>10000000</v>
      </c>
      <c r="G37" s="279">
        <f>SUM(G35:G36)/2</f>
        <v>4084032</v>
      </c>
      <c r="H37" s="342">
        <v>1</v>
      </c>
      <c r="I37" s="106">
        <f t="shared" si="3"/>
        <v>281389.80479999998</v>
      </c>
      <c r="J37" s="279">
        <f>SUM(J34:J36)</f>
        <v>35124</v>
      </c>
      <c r="K37" s="5">
        <f t="shared" si="4"/>
        <v>316513.80479999998</v>
      </c>
      <c r="L37" s="39">
        <f t="shared" si="5"/>
        <v>7.7500324385313332E-2</v>
      </c>
      <c r="M37" s="341"/>
      <c r="N37" s="279"/>
      <c r="O37" s="129"/>
      <c r="P37" s="129"/>
    </row>
    <row r="38" spans="1:16">
      <c r="A38">
        <v>5</v>
      </c>
      <c r="B38" s="76" t="s">
        <v>673</v>
      </c>
      <c r="C38" s="329">
        <v>40533</v>
      </c>
      <c r="D38" s="329">
        <v>42968</v>
      </c>
      <c r="E38" s="334">
        <v>3.8199999999999998E-2</v>
      </c>
      <c r="F38" s="256">
        <v>27000000</v>
      </c>
      <c r="G38" s="256">
        <v>27000000</v>
      </c>
      <c r="H38" s="336">
        <f>130/360</f>
        <v>0.3611111111111111</v>
      </c>
      <c r="I38" s="68">
        <f t="shared" si="3"/>
        <v>372450</v>
      </c>
      <c r="J38" s="256">
        <v>8673</v>
      </c>
      <c r="K38" s="5">
        <f t="shared" si="4"/>
        <v>381123</v>
      </c>
      <c r="L38" s="39">
        <f t="shared" si="5"/>
        <v>1.4115666666666667E-2</v>
      </c>
      <c r="M38" s="39"/>
      <c r="N38" s="279"/>
      <c r="O38" s="5"/>
      <c r="P38" s="5">
        <f>SUM(N38:O38)</f>
        <v>0</v>
      </c>
    </row>
    <row r="39" spans="1:16" ht="13.5" thickBot="1">
      <c r="A39">
        <v>6</v>
      </c>
      <c r="B39" s="24" t="s">
        <v>356</v>
      </c>
      <c r="C39" s="330"/>
      <c r="D39" s="2"/>
      <c r="F39" s="6">
        <f>F30+F33+F37+F38</f>
        <v>136700000</v>
      </c>
      <c r="G39" s="6">
        <f>G30+G33+G37+G38</f>
        <v>82829128.5</v>
      </c>
      <c r="H39" s="6"/>
      <c r="I39" s="6">
        <f>I37+I33+I30</f>
        <v>2724226.9791294443</v>
      </c>
      <c r="J39" s="6">
        <f>J37+J33+J30</f>
        <v>90141</v>
      </c>
      <c r="K39" s="6">
        <f>K30+K33+K37+K38</f>
        <v>3195490.9791294443</v>
      </c>
      <c r="L39" s="40"/>
      <c r="M39" s="40"/>
      <c r="N39" s="6">
        <f>SUM(N28:N33)</f>
        <v>0</v>
      </c>
      <c r="O39" s="6">
        <f>SUM(O27:O33)</f>
        <v>0</v>
      </c>
      <c r="P39" s="6">
        <f>SUM(P28:P38)</f>
        <v>0</v>
      </c>
    </row>
    <row r="40" spans="1:16" ht="14.25" thickTop="1" thickBot="1">
      <c r="D40" s="5"/>
      <c r="E40" s="5"/>
      <c r="F40" s="29"/>
      <c r="G40" s="29"/>
      <c r="H40" s="29"/>
      <c r="I40" s="29"/>
      <c r="K40" t="s">
        <v>682</v>
      </c>
      <c r="L40" s="337">
        <f>(L30+L33+L37+L38)/4</f>
        <v>4.9010631431194628E-2</v>
      </c>
      <c r="M40" s="344"/>
      <c r="N40" s="186"/>
      <c r="P40" s="40">
        <f>P39/G39</f>
        <v>0</v>
      </c>
    </row>
    <row r="41" spans="1:16" ht="13.5" thickTop="1">
      <c r="D41" s="5"/>
      <c r="E41" s="5"/>
      <c r="F41" s="5"/>
    </row>
    <row r="42" spans="1:16">
      <c r="D42" s="5"/>
      <c r="E42" s="5"/>
      <c r="F42" s="5"/>
    </row>
    <row r="43" spans="1:16">
      <c r="D43" s="5"/>
      <c r="E43" s="5"/>
      <c r="F43" s="5"/>
    </row>
    <row r="44" spans="1:16">
      <c r="D44" s="5"/>
      <c r="E44" s="5"/>
      <c r="F44" s="5"/>
    </row>
    <row r="45" spans="1:16">
      <c r="D45" s="5"/>
      <c r="E45" s="5"/>
      <c r="F45" s="5"/>
    </row>
    <row r="46" spans="1:16">
      <c r="D46" s="5"/>
      <c r="E46" s="5"/>
      <c r="F46" s="5"/>
    </row>
    <row r="47" spans="1:16">
      <c r="D47" s="5"/>
      <c r="E47" s="5"/>
      <c r="F47" s="5"/>
    </row>
    <row r="48" spans="1:16">
      <c r="D48" s="5"/>
      <c r="E48" s="5"/>
      <c r="F48" s="5"/>
    </row>
    <row r="49" spans="4:6">
      <c r="D49" s="5"/>
      <c r="E49" s="5"/>
      <c r="F49" s="5"/>
    </row>
    <row r="50" spans="4:6">
      <c r="D50" s="5"/>
      <c r="E50" s="5"/>
      <c r="F50" s="5"/>
    </row>
    <row r="51" spans="4:6">
      <c r="D51" s="5"/>
      <c r="E51" s="5"/>
      <c r="F51" s="5"/>
    </row>
    <row r="52" spans="4:6">
      <c r="D52" s="5"/>
      <c r="E52" s="5"/>
      <c r="F52" s="5"/>
    </row>
    <row r="53" spans="4:6">
      <c r="D53" s="5"/>
      <c r="E53" s="5"/>
      <c r="F53" s="5"/>
    </row>
    <row r="54" spans="4:6">
      <c r="D54" s="5"/>
      <c r="E54" s="5"/>
      <c r="F54" s="5"/>
    </row>
    <row r="55" spans="4:6">
      <c r="D55" s="5"/>
      <c r="E55" s="5"/>
      <c r="F55" s="5"/>
    </row>
    <row r="56" spans="4:6">
      <c r="D56" s="5"/>
      <c r="E56" s="5"/>
      <c r="F56" s="5"/>
    </row>
    <row r="57" spans="4:6">
      <c r="D57" s="5"/>
      <c r="E57" s="5"/>
      <c r="F57" s="5"/>
    </row>
    <row r="58" spans="4:6">
      <c r="D58" s="5"/>
      <c r="E58" s="5"/>
      <c r="F58" s="5"/>
    </row>
    <row r="59" spans="4:6">
      <c r="D59" s="5"/>
      <c r="E59" s="5"/>
      <c r="F59" s="5"/>
    </row>
    <row r="60" spans="4:6">
      <c r="D60" s="5"/>
      <c r="E60" s="5"/>
      <c r="F60" s="5"/>
    </row>
    <row r="61" spans="4:6">
      <c r="D61" s="5"/>
      <c r="E61" s="5"/>
      <c r="F61" s="5"/>
    </row>
    <row r="62" spans="4:6">
      <c r="D62" s="5"/>
      <c r="E62" s="5"/>
      <c r="F62" s="5"/>
    </row>
    <row r="63" spans="4:6">
      <c r="D63" s="5"/>
      <c r="E63" s="5"/>
      <c r="F63" s="5"/>
    </row>
    <row r="64" spans="4:6">
      <c r="D64" s="5"/>
      <c r="E64" s="5"/>
      <c r="F64" s="5"/>
    </row>
    <row r="65" spans="4:6">
      <c r="D65" s="5"/>
      <c r="E65" s="5"/>
      <c r="F65" s="5"/>
    </row>
    <row r="66" spans="4:6">
      <c r="D66" s="5"/>
      <c r="E66" s="5"/>
      <c r="F66" s="5"/>
    </row>
    <row r="67" spans="4:6">
      <c r="D67" s="5"/>
      <c r="E67" s="5"/>
      <c r="F67" s="5"/>
    </row>
    <row r="68" spans="4:6">
      <c r="D68" s="5"/>
      <c r="E68" s="5"/>
      <c r="F68" s="5"/>
    </row>
    <row r="69" spans="4:6">
      <c r="D69" s="5"/>
      <c r="E69" s="5"/>
      <c r="F69" s="5"/>
    </row>
    <row r="70" spans="4:6">
      <c r="D70" s="5"/>
      <c r="E70" s="5"/>
      <c r="F70" s="5"/>
    </row>
    <row r="71" spans="4:6">
      <c r="D71" s="5"/>
      <c r="E71" s="5"/>
      <c r="F71" s="5"/>
    </row>
    <row r="72" spans="4:6">
      <c r="D72" s="5"/>
      <c r="E72" s="5"/>
      <c r="F72" s="5"/>
    </row>
    <row r="73" spans="4:6">
      <c r="D73" s="5"/>
      <c r="E73" s="5"/>
      <c r="F73" s="5"/>
    </row>
    <row r="74" spans="4:6">
      <c r="D74" s="5"/>
      <c r="E74" s="5"/>
      <c r="F74" s="5"/>
    </row>
    <row r="75" spans="4:6">
      <c r="D75" s="5"/>
      <c r="E75" s="5"/>
      <c r="F75" s="5"/>
    </row>
    <row r="76" spans="4:6">
      <c r="D76" s="5"/>
      <c r="E76" s="5"/>
      <c r="F76" s="5"/>
    </row>
    <row r="77" spans="4:6">
      <c r="D77" s="5"/>
      <c r="E77" s="5"/>
      <c r="F77" s="5"/>
    </row>
    <row r="78" spans="4:6">
      <c r="D78" s="5"/>
      <c r="E78" s="5"/>
      <c r="F78" s="5"/>
    </row>
    <row r="79" spans="4:6">
      <c r="D79" s="5"/>
      <c r="E79" s="5"/>
      <c r="F79" s="5"/>
    </row>
    <row r="80" spans="4:6">
      <c r="D80" s="5"/>
      <c r="E80" s="5"/>
      <c r="F80" s="5"/>
    </row>
    <row r="81" spans="4:6">
      <c r="D81" s="5"/>
      <c r="E81" s="5"/>
      <c r="F81" s="5"/>
    </row>
    <row r="82" spans="4:6">
      <c r="D82" s="5"/>
      <c r="E82" s="5"/>
      <c r="F82" s="5"/>
    </row>
    <row r="83" spans="4:6">
      <c r="D83" s="5"/>
      <c r="E83" s="5"/>
      <c r="F83" s="5"/>
    </row>
    <row r="84" spans="4:6">
      <c r="D84" s="5"/>
      <c r="E84" s="5"/>
      <c r="F84" s="5"/>
    </row>
    <row r="85" spans="4:6">
      <c r="D85" s="5"/>
      <c r="E85" s="5"/>
      <c r="F85" s="5"/>
    </row>
    <row r="86" spans="4:6">
      <c r="D86" s="5"/>
      <c r="E86" s="5"/>
      <c r="F86" s="5"/>
    </row>
    <row r="87" spans="4:6">
      <c r="D87" s="5"/>
      <c r="E87" s="5"/>
      <c r="F87" s="5"/>
    </row>
    <row r="88" spans="4:6">
      <c r="D88" s="5"/>
      <c r="E88" s="5"/>
      <c r="F88" s="5"/>
    </row>
    <row r="89" spans="4:6">
      <c r="D89" s="5"/>
      <c r="E89" s="5"/>
      <c r="F89" s="5"/>
    </row>
    <row r="90" spans="4:6">
      <c r="D90" s="5"/>
      <c r="E90" s="5"/>
      <c r="F90" s="5"/>
    </row>
    <row r="91" spans="4:6">
      <c r="D91" s="5"/>
      <c r="E91" s="5"/>
      <c r="F91" s="5"/>
    </row>
    <row r="92" spans="4:6">
      <c r="D92" s="5"/>
      <c r="E92" s="5"/>
      <c r="F92" s="5"/>
    </row>
    <row r="93" spans="4:6">
      <c r="D93" s="5"/>
      <c r="E93" s="5"/>
      <c r="F93" s="5"/>
    </row>
    <row r="94" spans="4:6">
      <c r="D94" s="5"/>
      <c r="E94" s="5"/>
      <c r="F94" s="5"/>
    </row>
    <row r="95" spans="4:6">
      <c r="D95" s="5"/>
      <c r="E95" s="5"/>
      <c r="F95" s="5"/>
    </row>
    <row r="96" spans="4:6">
      <c r="D96" s="5"/>
      <c r="E96" s="5"/>
      <c r="F96" s="5"/>
    </row>
    <row r="97" spans="4:6">
      <c r="D97" s="5"/>
      <c r="E97" s="5"/>
      <c r="F97" s="5"/>
    </row>
    <row r="98" spans="4:6">
      <c r="D98" s="5"/>
      <c r="E98" s="5"/>
      <c r="F98" s="5"/>
    </row>
    <row r="99" spans="4:6">
      <c r="D99" s="5"/>
      <c r="E99" s="5"/>
      <c r="F99" s="5"/>
    </row>
    <row r="100" spans="4:6">
      <c r="D100" s="5"/>
      <c r="E100" s="5"/>
      <c r="F100" s="5"/>
    </row>
    <row r="101" spans="4:6">
      <c r="D101" s="5"/>
      <c r="E101" s="5"/>
      <c r="F101" s="5"/>
    </row>
    <row r="102" spans="4:6">
      <c r="D102" s="5"/>
      <c r="E102" s="5"/>
      <c r="F102" s="5"/>
    </row>
    <row r="103" spans="4:6">
      <c r="D103" s="5"/>
      <c r="E103" s="5"/>
      <c r="F103" s="5"/>
    </row>
    <row r="104" spans="4:6">
      <c r="D104" s="5"/>
      <c r="E104" s="5"/>
      <c r="F104" s="5"/>
    </row>
    <row r="105" spans="4:6">
      <c r="D105" s="5"/>
      <c r="E105" s="5"/>
      <c r="F105" s="5"/>
    </row>
    <row r="106" spans="4:6">
      <c r="D106" s="5"/>
      <c r="E106" s="5"/>
      <c r="F106" s="5"/>
    </row>
    <row r="107" spans="4:6">
      <c r="D107" s="5"/>
      <c r="E107" s="5"/>
      <c r="F107" s="5"/>
    </row>
    <row r="108" spans="4:6">
      <c r="D108" s="5"/>
      <c r="E108" s="5"/>
      <c r="F108" s="5"/>
    </row>
    <row r="109" spans="4:6">
      <c r="D109" s="5"/>
      <c r="E109" s="5"/>
      <c r="F109" s="5"/>
    </row>
    <row r="110" spans="4:6">
      <c r="D110" s="5"/>
      <c r="E110" s="5"/>
      <c r="F110" s="5"/>
    </row>
    <row r="111" spans="4:6">
      <c r="D111" s="5"/>
      <c r="E111" s="5"/>
      <c r="F111" s="5"/>
    </row>
    <row r="112" spans="4:6">
      <c r="D112" s="5"/>
      <c r="E112" s="5"/>
      <c r="F112" s="5"/>
    </row>
    <row r="113" spans="4:6">
      <c r="D113" s="5"/>
      <c r="E113" s="5"/>
      <c r="F113" s="5"/>
    </row>
    <row r="114" spans="4:6">
      <c r="D114" s="5"/>
      <c r="E114" s="5"/>
      <c r="F114" s="5"/>
    </row>
    <row r="115" spans="4:6">
      <c r="D115" s="5"/>
      <c r="E115" s="5"/>
      <c r="F115" s="5"/>
    </row>
    <row r="116" spans="4:6">
      <c r="D116" s="5"/>
      <c r="E116" s="5"/>
      <c r="F116" s="5"/>
    </row>
    <row r="117" spans="4:6">
      <c r="D117" s="5"/>
      <c r="E117" s="5"/>
      <c r="F117" s="5"/>
    </row>
    <row r="118" spans="4:6">
      <c r="D118" s="5"/>
      <c r="E118" s="5"/>
      <c r="F118" s="5"/>
    </row>
    <row r="119" spans="4:6">
      <c r="D119" s="5"/>
      <c r="E119" s="5"/>
      <c r="F119" s="5"/>
    </row>
    <row r="120" spans="4:6">
      <c r="D120" s="5"/>
      <c r="E120" s="5"/>
      <c r="F120" s="5"/>
    </row>
    <row r="121" spans="4:6">
      <c r="D121" s="5"/>
      <c r="E121" s="5"/>
      <c r="F121" s="5"/>
    </row>
    <row r="122" spans="4:6">
      <c r="D122" s="5"/>
      <c r="E122" s="5"/>
      <c r="F122" s="5"/>
    </row>
    <row r="123" spans="4:6">
      <c r="D123" s="5"/>
      <c r="E123" s="5"/>
      <c r="F123" s="5"/>
    </row>
    <row r="124" spans="4:6">
      <c r="D124" s="5"/>
      <c r="E124" s="5"/>
      <c r="F124" s="5"/>
    </row>
    <row r="125" spans="4:6">
      <c r="D125" s="5"/>
      <c r="E125" s="5"/>
      <c r="F125" s="5"/>
    </row>
    <row r="126" spans="4:6">
      <c r="D126" s="5"/>
      <c r="E126" s="5"/>
      <c r="F126" s="5"/>
    </row>
    <row r="127" spans="4:6">
      <c r="D127" s="5"/>
      <c r="E127" s="5"/>
      <c r="F127" s="5"/>
    </row>
    <row r="128" spans="4:6">
      <c r="D128" s="5"/>
      <c r="E128" s="5"/>
      <c r="F128" s="5"/>
    </row>
    <row r="129" spans="4:6">
      <c r="D129" s="5"/>
      <c r="E129" s="5"/>
      <c r="F129" s="5"/>
    </row>
    <row r="130" spans="4:6">
      <c r="D130" s="5"/>
      <c r="E130" s="5"/>
      <c r="F130" s="5"/>
    </row>
    <row r="131" spans="4:6">
      <c r="D131" s="5"/>
      <c r="E131" s="5"/>
      <c r="F131" s="5"/>
    </row>
    <row r="132" spans="4:6">
      <c r="D132" s="5"/>
      <c r="E132" s="5"/>
      <c r="F132" s="5"/>
    </row>
    <row r="133" spans="4:6">
      <c r="D133" s="5"/>
      <c r="E133" s="5"/>
      <c r="F133" s="5"/>
    </row>
    <row r="134" spans="4:6">
      <c r="D134" s="5"/>
      <c r="E134" s="5"/>
      <c r="F134" s="5"/>
    </row>
    <row r="135" spans="4:6">
      <c r="D135" s="5"/>
      <c r="E135" s="5"/>
      <c r="F135" s="5"/>
    </row>
    <row r="136" spans="4:6">
      <c r="D136" s="5"/>
      <c r="E136" s="5"/>
      <c r="F136" s="5"/>
    </row>
    <row r="137" spans="4:6">
      <c r="D137" s="5"/>
      <c r="E137" s="5"/>
      <c r="F137" s="5"/>
    </row>
    <row r="138" spans="4:6">
      <c r="D138" s="5"/>
      <c r="E138" s="5"/>
      <c r="F138" s="5"/>
    </row>
    <row r="139" spans="4:6">
      <c r="D139" s="5"/>
      <c r="E139" s="5"/>
      <c r="F139" s="5"/>
    </row>
    <row r="140" spans="4:6">
      <c r="D140" s="5"/>
      <c r="E140" s="5"/>
      <c r="F140" s="5"/>
    </row>
    <row r="141" spans="4:6">
      <c r="D141" s="5"/>
      <c r="E141" s="5"/>
      <c r="F141" s="5"/>
    </row>
    <row r="142" spans="4:6">
      <c r="D142" s="5"/>
      <c r="E142" s="5"/>
      <c r="F142" s="5"/>
    </row>
    <row r="143" spans="4:6">
      <c r="D143" s="5"/>
      <c r="E143" s="5"/>
      <c r="F143" s="5"/>
    </row>
    <row r="144" spans="4:6">
      <c r="D144" s="5"/>
      <c r="E144" s="5"/>
      <c r="F144" s="5"/>
    </row>
    <row r="145" spans="4:6">
      <c r="D145" s="5"/>
      <c r="E145" s="5"/>
      <c r="F145" s="5"/>
    </row>
    <row r="146" spans="4:6">
      <c r="D146" s="5"/>
      <c r="E146" s="5"/>
      <c r="F146" s="5"/>
    </row>
    <row r="147" spans="4:6">
      <c r="D147" s="5"/>
      <c r="E147" s="5"/>
      <c r="F147" s="5"/>
    </row>
    <row r="148" spans="4:6">
      <c r="D148" s="5"/>
      <c r="E148" s="5"/>
      <c r="F148" s="5"/>
    </row>
    <row r="149" spans="4:6">
      <c r="D149" s="5"/>
      <c r="E149" s="5"/>
      <c r="F149" s="5"/>
    </row>
    <row r="150" spans="4:6">
      <c r="D150" s="5"/>
      <c r="E150" s="5"/>
      <c r="F150" s="5"/>
    </row>
    <row r="151" spans="4:6">
      <c r="D151" s="5"/>
      <c r="E151" s="5"/>
      <c r="F151" s="5"/>
    </row>
    <row r="152" spans="4:6">
      <c r="D152" s="5"/>
      <c r="E152" s="5"/>
      <c r="F152" s="5"/>
    </row>
    <row r="153" spans="4:6">
      <c r="D153" s="5"/>
      <c r="E153" s="5"/>
      <c r="F153" s="5"/>
    </row>
    <row r="154" spans="4:6">
      <c r="D154" s="5"/>
      <c r="E154" s="5"/>
      <c r="F154" s="5"/>
    </row>
    <row r="155" spans="4:6">
      <c r="D155" s="5"/>
      <c r="E155" s="5"/>
      <c r="F155" s="5"/>
    </row>
    <row r="156" spans="4:6">
      <c r="D156" s="5"/>
      <c r="E156" s="5"/>
      <c r="F156" s="5"/>
    </row>
    <row r="157" spans="4:6">
      <c r="D157" s="5"/>
      <c r="E157" s="5"/>
      <c r="F157" s="5"/>
    </row>
    <row r="158" spans="4:6">
      <c r="D158" s="5"/>
      <c r="E158" s="5"/>
      <c r="F158" s="5"/>
    </row>
    <row r="159" spans="4:6">
      <c r="D159" s="5"/>
      <c r="E159" s="5"/>
      <c r="F159" s="5"/>
    </row>
    <row r="160" spans="4:6">
      <c r="D160" s="5"/>
      <c r="E160" s="5"/>
      <c r="F160" s="5"/>
    </row>
    <row r="161" spans="4:6">
      <c r="D161" s="5"/>
      <c r="E161" s="5"/>
      <c r="F161" s="5"/>
    </row>
    <row r="162" spans="4:6">
      <c r="D162" s="5"/>
      <c r="E162" s="5"/>
      <c r="F162" s="5"/>
    </row>
    <row r="163" spans="4:6">
      <c r="D163" s="5"/>
      <c r="E163" s="5"/>
      <c r="F163" s="5"/>
    </row>
    <row r="164" spans="4:6">
      <c r="D164" s="5"/>
      <c r="E164" s="5"/>
      <c r="F164" s="5"/>
    </row>
    <row r="165" spans="4:6">
      <c r="D165" s="5"/>
      <c r="E165" s="5"/>
      <c r="F165" s="5"/>
    </row>
    <row r="166" spans="4:6">
      <c r="D166" s="5"/>
      <c r="E166" s="5"/>
      <c r="F166" s="5"/>
    </row>
    <row r="167" spans="4:6">
      <c r="D167" s="5"/>
      <c r="E167" s="5"/>
      <c r="F167" s="5"/>
    </row>
    <row r="168" spans="4:6">
      <c r="D168" s="5"/>
      <c r="E168" s="5"/>
      <c r="F168" s="5"/>
    </row>
    <row r="169" spans="4:6">
      <c r="D169" s="5"/>
      <c r="E169" s="5"/>
      <c r="F169" s="5"/>
    </row>
    <row r="170" spans="4:6">
      <c r="D170" s="5"/>
      <c r="E170" s="5"/>
      <c r="F170" s="5"/>
    </row>
    <row r="171" spans="4:6">
      <c r="D171" s="5"/>
      <c r="E171" s="5"/>
      <c r="F171" s="5"/>
    </row>
    <row r="172" spans="4:6">
      <c r="D172" s="5"/>
      <c r="E172" s="5"/>
      <c r="F172" s="5"/>
    </row>
    <row r="173" spans="4:6">
      <c r="D173" s="5"/>
      <c r="E173" s="5"/>
      <c r="F173" s="5"/>
    </row>
    <row r="174" spans="4:6">
      <c r="D174" s="5"/>
      <c r="E174" s="5"/>
      <c r="F174" s="5"/>
    </row>
    <row r="175" spans="4:6">
      <c r="D175" s="5"/>
      <c r="E175" s="5"/>
      <c r="F175" s="5"/>
    </row>
    <row r="176" spans="4:6">
      <c r="D176" s="5"/>
      <c r="E176" s="5"/>
      <c r="F176" s="5"/>
    </row>
    <row r="177" spans="4:6">
      <c r="D177" s="5"/>
      <c r="E177" s="5"/>
      <c r="F177" s="5"/>
    </row>
    <row r="178" spans="4:6">
      <c r="D178" s="5"/>
      <c r="E178" s="5"/>
      <c r="F178" s="5"/>
    </row>
    <row r="179" spans="4:6">
      <c r="D179" s="5"/>
      <c r="E179" s="5"/>
      <c r="F179" s="5"/>
    </row>
    <row r="180" spans="4:6">
      <c r="D180" s="5"/>
      <c r="E180" s="5"/>
      <c r="F180" s="5"/>
    </row>
    <row r="181" spans="4:6">
      <c r="D181" s="5"/>
      <c r="E181" s="5"/>
      <c r="F181" s="5"/>
    </row>
    <row r="182" spans="4:6">
      <c r="D182" s="5"/>
      <c r="E182" s="5"/>
      <c r="F182" s="5"/>
    </row>
    <row r="183" spans="4:6">
      <c r="D183" s="5"/>
      <c r="E183" s="5"/>
      <c r="F183" s="5"/>
    </row>
    <row r="184" spans="4:6">
      <c r="D184" s="5"/>
      <c r="E184" s="5"/>
      <c r="F184" s="5"/>
    </row>
    <row r="185" spans="4:6">
      <c r="D185" s="5"/>
      <c r="E185" s="5"/>
      <c r="F185" s="5"/>
    </row>
    <row r="186" spans="4:6">
      <c r="D186" s="5"/>
      <c r="E186" s="5"/>
      <c r="F186" s="5"/>
    </row>
    <row r="187" spans="4:6">
      <c r="D187" s="5"/>
      <c r="E187" s="5"/>
      <c r="F187" s="5"/>
    </row>
    <row r="188" spans="4:6">
      <c r="D188" s="5"/>
      <c r="E188" s="5"/>
      <c r="F188" s="5"/>
    </row>
    <row r="189" spans="4:6">
      <c r="D189" s="5"/>
      <c r="E189" s="5"/>
      <c r="F189" s="5"/>
    </row>
    <row r="190" spans="4:6">
      <c r="D190" s="5"/>
      <c r="E190" s="5"/>
      <c r="F190" s="5"/>
    </row>
    <row r="191" spans="4:6">
      <c r="D191" s="5"/>
      <c r="E191" s="5"/>
      <c r="F191" s="5"/>
    </row>
    <row r="192" spans="4:6">
      <c r="D192" s="5"/>
      <c r="E192" s="5"/>
      <c r="F192" s="5"/>
    </row>
    <row r="193" spans="4:6">
      <c r="D193" s="5"/>
      <c r="E193" s="5"/>
      <c r="F193" s="5"/>
    </row>
    <row r="194" spans="4:6">
      <c r="D194" s="5"/>
      <c r="E194" s="5"/>
      <c r="F194" s="5"/>
    </row>
    <row r="195" spans="4:6">
      <c r="D195" s="5"/>
      <c r="E195" s="5"/>
      <c r="F195" s="5"/>
    </row>
    <row r="196" spans="4:6">
      <c r="D196" s="5"/>
      <c r="E196" s="5"/>
      <c r="F196" s="5"/>
    </row>
    <row r="197" spans="4:6">
      <c r="D197" s="5"/>
      <c r="E197" s="5"/>
      <c r="F197" s="5"/>
    </row>
    <row r="198" spans="4:6">
      <c r="D198" s="5"/>
      <c r="E198" s="5"/>
      <c r="F198" s="5"/>
    </row>
    <row r="199" spans="4:6">
      <c r="D199" s="5"/>
      <c r="E199" s="5"/>
      <c r="F199" s="5"/>
    </row>
    <row r="200" spans="4:6">
      <c r="D200" s="5"/>
      <c r="E200" s="5"/>
      <c r="F200" s="5"/>
    </row>
    <row r="201" spans="4:6">
      <c r="D201" s="5"/>
      <c r="E201" s="5"/>
      <c r="F201" s="5"/>
    </row>
    <row r="202" spans="4:6">
      <c r="D202" s="5"/>
      <c r="E202" s="5"/>
      <c r="F202" s="5"/>
    </row>
    <row r="203" spans="4:6">
      <c r="D203" s="5"/>
      <c r="E203" s="5"/>
      <c r="F203" s="5"/>
    </row>
    <row r="204" spans="4:6">
      <c r="D204" s="5"/>
      <c r="E204" s="5"/>
      <c r="F204" s="5"/>
    </row>
    <row r="205" spans="4:6">
      <c r="D205" s="5"/>
      <c r="E205" s="5"/>
      <c r="F205" s="5"/>
    </row>
    <row r="206" spans="4:6">
      <c r="D206" s="5"/>
      <c r="E206" s="5"/>
      <c r="F206" s="5"/>
    </row>
    <row r="207" spans="4:6">
      <c r="D207" s="5"/>
      <c r="E207" s="5"/>
      <c r="F207" s="5"/>
    </row>
    <row r="208" spans="4:6">
      <c r="D208" s="5"/>
      <c r="E208" s="5"/>
      <c r="F208" s="5"/>
    </row>
    <row r="209" spans="4:6">
      <c r="D209" s="5"/>
      <c r="E209" s="5"/>
      <c r="F209" s="5"/>
    </row>
    <row r="210" spans="4:6">
      <c r="D210" s="5"/>
      <c r="E210" s="5"/>
      <c r="F210" s="5"/>
    </row>
    <row r="211" spans="4:6">
      <c r="D211" s="5"/>
      <c r="E211" s="5"/>
      <c r="F211" s="5"/>
    </row>
    <row r="212" spans="4:6">
      <c r="D212" s="5"/>
      <c r="E212" s="5"/>
      <c r="F212" s="5"/>
    </row>
    <row r="213" spans="4:6">
      <c r="D213" s="5"/>
      <c r="E213" s="5"/>
      <c r="F213" s="5"/>
    </row>
    <row r="214" spans="4:6">
      <c r="D214" s="5"/>
      <c r="E214" s="5"/>
      <c r="F214" s="5"/>
    </row>
    <row r="215" spans="4:6">
      <c r="D215" s="5"/>
      <c r="E215" s="5"/>
      <c r="F215" s="5"/>
    </row>
    <row r="216" spans="4:6">
      <c r="D216" s="5"/>
      <c r="E216" s="5"/>
      <c r="F216" s="5"/>
    </row>
    <row r="217" spans="4:6">
      <c r="D217" s="5"/>
      <c r="E217" s="5"/>
      <c r="F217" s="5"/>
    </row>
    <row r="218" spans="4:6">
      <c r="D218" s="5"/>
      <c r="E218" s="5"/>
      <c r="F218" s="5"/>
    </row>
    <row r="219" spans="4:6">
      <c r="D219" s="5"/>
      <c r="E219" s="5"/>
      <c r="F219" s="5"/>
    </row>
    <row r="220" spans="4:6">
      <c r="D220" s="5"/>
      <c r="E220" s="5"/>
      <c r="F220" s="5"/>
    </row>
    <row r="221" spans="4:6">
      <c r="D221" s="5"/>
      <c r="E221" s="5"/>
      <c r="F221" s="5"/>
    </row>
    <row r="222" spans="4:6">
      <c r="D222" s="5"/>
      <c r="E222" s="5"/>
      <c r="F222" s="5"/>
    </row>
    <row r="223" spans="4:6">
      <c r="D223" s="5"/>
      <c r="E223" s="5"/>
      <c r="F223" s="5"/>
    </row>
    <row r="224" spans="4:6">
      <c r="D224" s="5"/>
      <c r="E224" s="5"/>
      <c r="F224" s="5"/>
    </row>
    <row r="225" spans="4:6">
      <c r="D225" s="5"/>
      <c r="E225" s="5"/>
      <c r="F225" s="5"/>
    </row>
    <row r="226" spans="4:6">
      <c r="D226" s="5"/>
      <c r="E226" s="5"/>
      <c r="F226" s="5"/>
    </row>
    <row r="227" spans="4:6">
      <c r="D227" s="5"/>
      <c r="E227" s="5"/>
      <c r="F227" s="5"/>
    </row>
    <row r="228" spans="4:6">
      <c r="D228" s="5"/>
      <c r="E228" s="5"/>
      <c r="F228" s="5"/>
    </row>
    <row r="229" spans="4:6">
      <c r="D229" s="5"/>
      <c r="E229" s="5"/>
      <c r="F229" s="5"/>
    </row>
    <row r="230" spans="4:6">
      <c r="D230" s="5"/>
      <c r="E230" s="5"/>
      <c r="F230" s="5"/>
    </row>
    <row r="231" spans="4:6">
      <c r="D231" s="5"/>
      <c r="E231" s="5"/>
      <c r="F231" s="5"/>
    </row>
    <row r="232" spans="4:6">
      <c r="D232" s="5"/>
      <c r="E232" s="5"/>
      <c r="F232" s="5"/>
    </row>
    <row r="233" spans="4:6">
      <c r="D233" s="5"/>
      <c r="E233" s="5"/>
      <c r="F233" s="5"/>
    </row>
    <row r="234" spans="4:6">
      <c r="D234" s="5"/>
      <c r="E234" s="5"/>
      <c r="F234" s="5"/>
    </row>
    <row r="235" spans="4:6">
      <c r="D235" s="5"/>
      <c r="E235" s="5"/>
      <c r="F235" s="5"/>
    </row>
    <row r="236" spans="4:6">
      <c r="D236" s="5"/>
      <c r="E236" s="5"/>
      <c r="F236" s="5"/>
    </row>
    <row r="237" spans="4:6">
      <c r="D237" s="5"/>
      <c r="E237" s="5"/>
      <c r="F237" s="5"/>
    </row>
    <row r="238" spans="4:6">
      <c r="D238" s="5"/>
      <c r="E238" s="5"/>
      <c r="F238" s="5"/>
    </row>
    <row r="239" spans="4:6">
      <c r="D239" s="5"/>
      <c r="E239" s="5"/>
      <c r="F239" s="5"/>
    </row>
    <row r="240" spans="4:6">
      <c r="D240" s="5"/>
      <c r="E240" s="5"/>
      <c r="F240" s="5"/>
    </row>
    <row r="241" spans="4:6">
      <c r="D241" s="5"/>
      <c r="E241" s="5"/>
      <c r="F241" s="5"/>
    </row>
    <row r="242" spans="4:6">
      <c r="D242" s="5"/>
      <c r="E242" s="5"/>
      <c r="F242" s="5"/>
    </row>
    <row r="243" spans="4:6">
      <c r="D243" s="5"/>
      <c r="E243" s="5"/>
      <c r="F243" s="5"/>
    </row>
    <row r="244" spans="4:6">
      <c r="D244" s="5"/>
      <c r="E244" s="5"/>
      <c r="F244" s="5"/>
    </row>
    <row r="245" spans="4:6">
      <c r="D245" s="5"/>
      <c r="E245" s="5"/>
      <c r="F245" s="5"/>
    </row>
    <row r="246" spans="4:6">
      <c r="D246" s="5"/>
      <c r="E246" s="5"/>
      <c r="F246" s="5"/>
    </row>
    <row r="247" spans="4:6">
      <c r="D247" s="5"/>
      <c r="E247" s="5"/>
      <c r="F247" s="5"/>
    </row>
    <row r="248" spans="4:6">
      <c r="D248" s="5"/>
      <c r="E248" s="5"/>
      <c r="F248" s="5"/>
    </row>
    <row r="249" spans="4:6">
      <c r="D249" s="5"/>
      <c r="E249" s="5"/>
      <c r="F249" s="5"/>
    </row>
    <row r="250" spans="4:6">
      <c r="D250" s="5"/>
      <c r="E250" s="5"/>
      <c r="F250" s="5"/>
    </row>
    <row r="251" spans="4:6">
      <c r="D251" s="5"/>
      <c r="E251" s="5"/>
      <c r="F251" s="5"/>
    </row>
    <row r="252" spans="4:6">
      <c r="D252" s="5"/>
      <c r="E252" s="5"/>
      <c r="F252" s="5"/>
    </row>
    <row r="253" spans="4:6">
      <c r="D253" s="5"/>
      <c r="E253" s="5"/>
      <c r="F253" s="5"/>
    </row>
    <row r="254" spans="4:6">
      <c r="D254" s="5"/>
      <c r="E254" s="5"/>
      <c r="F254" s="5"/>
    </row>
    <row r="255" spans="4:6">
      <c r="D255" s="5"/>
      <c r="E255" s="5"/>
      <c r="F255" s="5"/>
    </row>
    <row r="256" spans="4:6">
      <c r="D256" s="5"/>
      <c r="E256" s="5"/>
      <c r="F256" s="5"/>
    </row>
    <row r="257" spans="4:6">
      <c r="D257" s="5"/>
      <c r="E257" s="5"/>
      <c r="F257" s="5"/>
    </row>
    <row r="258" spans="4:6">
      <c r="D258" s="5"/>
      <c r="E258" s="5"/>
      <c r="F258" s="5"/>
    </row>
    <row r="259" spans="4:6">
      <c r="D259" s="5"/>
      <c r="E259" s="5"/>
      <c r="F259" s="5"/>
    </row>
    <row r="260" spans="4:6">
      <c r="D260" s="5"/>
      <c r="E260" s="5"/>
      <c r="F260" s="5"/>
    </row>
    <row r="261" spans="4:6">
      <c r="D261" s="5"/>
      <c r="E261" s="5"/>
      <c r="F261" s="5"/>
    </row>
    <row r="262" spans="4:6">
      <c r="D262" s="5"/>
      <c r="E262" s="5"/>
      <c r="F262" s="5"/>
    </row>
    <row r="263" spans="4:6">
      <c r="D263" s="5"/>
      <c r="E263" s="5"/>
      <c r="F263" s="5"/>
    </row>
    <row r="264" spans="4:6">
      <c r="D264" s="5"/>
      <c r="E264" s="5"/>
      <c r="F264" s="5"/>
    </row>
    <row r="265" spans="4:6">
      <c r="D265" s="5"/>
      <c r="E265" s="5"/>
      <c r="F265" s="5"/>
    </row>
    <row r="266" spans="4:6">
      <c r="D266" s="5"/>
      <c r="E266" s="5"/>
      <c r="F266" s="5"/>
    </row>
    <row r="267" spans="4:6">
      <c r="D267" s="5"/>
      <c r="E267" s="5"/>
      <c r="F267" s="5"/>
    </row>
    <row r="268" spans="4:6">
      <c r="D268" s="5"/>
      <c r="E268" s="5"/>
      <c r="F268" s="5"/>
    </row>
    <row r="269" spans="4:6">
      <c r="D269" s="5"/>
      <c r="E269" s="5"/>
      <c r="F269" s="5"/>
    </row>
    <row r="270" spans="4:6">
      <c r="D270" s="5"/>
      <c r="E270" s="5"/>
      <c r="F270" s="5"/>
    </row>
    <row r="271" spans="4:6">
      <c r="D271" s="5"/>
      <c r="E271" s="5"/>
      <c r="F271" s="5"/>
    </row>
    <row r="272" spans="4:6">
      <c r="D272" s="5"/>
      <c r="E272" s="5"/>
      <c r="F272" s="5"/>
    </row>
    <row r="273" spans="4:6">
      <c r="D273" s="5"/>
      <c r="E273" s="5"/>
      <c r="F273" s="5"/>
    </row>
    <row r="274" spans="4:6">
      <c r="D274" s="5"/>
      <c r="E274" s="5"/>
      <c r="F274" s="5"/>
    </row>
    <row r="275" spans="4:6">
      <c r="D275" s="5"/>
      <c r="E275" s="5"/>
      <c r="F275" s="5"/>
    </row>
    <row r="276" spans="4:6">
      <c r="D276" s="5"/>
      <c r="E276" s="5"/>
      <c r="F276" s="5"/>
    </row>
    <row r="277" spans="4:6">
      <c r="D277" s="5"/>
      <c r="E277" s="5"/>
      <c r="F277" s="5"/>
    </row>
    <row r="278" spans="4:6">
      <c r="D278" s="5"/>
      <c r="E278" s="5"/>
      <c r="F278" s="5"/>
    </row>
    <row r="279" spans="4:6">
      <c r="D279" s="5"/>
      <c r="E279" s="5"/>
      <c r="F279" s="5"/>
    </row>
    <row r="280" spans="4:6">
      <c r="D280" s="5"/>
      <c r="E280" s="5"/>
      <c r="F280" s="5"/>
    </row>
    <row r="281" spans="4:6">
      <c r="D281" s="5"/>
      <c r="E281" s="5"/>
      <c r="F281" s="5"/>
    </row>
    <row r="282" spans="4:6">
      <c r="D282" s="5"/>
      <c r="E282" s="5"/>
      <c r="F282" s="5"/>
    </row>
    <row r="283" spans="4:6">
      <c r="D283" s="5"/>
      <c r="E283" s="5"/>
      <c r="F283" s="5"/>
    </row>
    <row r="284" spans="4:6">
      <c r="D284" s="5"/>
      <c r="E284" s="5"/>
      <c r="F284" s="5"/>
    </row>
    <row r="285" spans="4:6">
      <c r="D285" s="5"/>
      <c r="E285" s="5"/>
      <c r="F285" s="5"/>
    </row>
    <row r="286" spans="4:6">
      <c r="D286" s="5"/>
      <c r="E286" s="5"/>
      <c r="F286" s="5"/>
    </row>
    <row r="287" spans="4:6">
      <c r="D287" s="5"/>
      <c r="E287" s="5"/>
      <c r="F287" s="5"/>
    </row>
    <row r="288" spans="4:6">
      <c r="D288" s="5"/>
      <c r="E288" s="5"/>
      <c r="F288" s="5"/>
    </row>
    <row r="289" spans="4:6">
      <c r="D289" s="5"/>
      <c r="E289" s="5"/>
      <c r="F289" s="5"/>
    </row>
    <row r="290" spans="4:6">
      <c r="D290" s="5"/>
      <c r="E290" s="5"/>
      <c r="F290" s="5"/>
    </row>
    <row r="291" spans="4:6">
      <c r="D291" s="5"/>
      <c r="E291" s="5"/>
      <c r="F291" s="5"/>
    </row>
    <row r="292" spans="4:6">
      <c r="D292" s="5"/>
      <c r="E292" s="5"/>
      <c r="F292" s="5"/>
    </row>
    <row r="293" spans="4:6">
      <c r="D293" s="5"/>
      <c r="E293" s="5"/>
      <c r="F293" s="5"/>
    </row>
    <row r="294" spans="4:6">
      <c r="D294" s="5"/>
      <c r="E294" s="5"/>
      <c r="F294" s="5"/>
    </row>
    <row r="295" spans="4:6">
      <c r="D295" s="5"/>
      <c r="E295" s="5"/>
      <c r="F295" s="5"/>
    </row>
    <row r="296" spans="4:6">
      <c r="D296" s="5"/>
      <c r="E296" s="5"/>
      <c r="F296" s="5"/>
    </row>
    <row r="297" spans="4:6">
      <c r="D297" s="5"/>
      <c r="E297" s="5"/>
      <c r="F297" s="5"/>
    </row>
    <row r="298" spans="4:6">
      <c r="D298" s="5"/>
      <c r="E298" s="5"/>
      <c r="F298" s="5"/>
    </row>
    <row r="299" spans="4:6">
      <c r="D299" s="5"/>
      <c r="E299" s="5"/>
      <c r="F299" s="5"/>
    </row>
    <row r="300" spans="4:6">
      <c r="D300" s="5"/>
      <c r="E300" s="5"/>
      <c r="F300" s="5"/>
    </row>
    <row r="301" spans="4:6">
      <c r="D301" s="5"/>
      <c r="E301" s="5"/>
      <c r="F301" s="5"/>
    </row>
    <row r="302" spans="4:6">
      <c r="D302" s="5"/>
      <c r="E302" s="5"/>
      <c r="F302" s="5"/>
    </row>
    <row r="303" spans="4:6">
      <c r="D303" s="5"/>
      <c r="E303" s="5"/>
      <c r="F303" s="5"/>
    </row>
    <row r="304" spans="4:6">
      <c r="D304" s="5"/>
      <c r="E304" s="5"/>
      <c r="F304" s="5"/>
    </row>
    <row r="305" spans="4:6">
      <c r="D305" s="5"/>
      <c r="E305" s="5"/>
      <c r="F305" s="5"/>
    </row>
    <row r="306" spans="4:6">
      <c r="D306" s="5"/>
      <c r="E306" s="5"/>
      <c r="F306" s="5"/>
    </row>
    <row r="307" spans="4:6">
      <c r="D307" s="5"/>
      <c r="E307" s="5"/>
      <c r="F307" s="5"/>
    </row>
    <row r="308" spans="4:6">
      <c r="D308" s="5"/>
      <c r="E308" s="5"/>
      <c r="F308" s="5"/>
    </row>
    <row r="309" spans="4:6">
      <c r="D309" s="5"/>
      <c r="E309" s="5"/>
      <c r="F309" s="5"/>
    </row>
    <row r="310" spans="4:6">
      <c r="D310" s="5"/>
      <c r="E310" s="5"/>
      <c r="F310" s="5"/>
    </row>
    <row r="311" spans="4:6">
      <c r="D311" s="5"/>
      <c r="E311" s="5"/>
      <c r="F311" s="5"/>
    </row>
    <row r="312" spans="4:6">
      <c r="D312" s="5"/>
      <c r="E312" s="5"/>
      <c r="F312" s="5"/>
    </row>
    <row r="313" spans="4:6">
      <c r="D313" s="5"/>
      <c r="E313" s="5"/>
      <c r="F313" s="5"/>
    </row>
    <row r="314" spans="4:6">
      <c r="D314" s="5"/>
      <c r="E314" s="5"/>
      <c r="F314" s="5"/>
    </row>
    <row r="315" spans="4:6">
      <c r="D315" s="5"/>
      <c r="E315" s="5"/>
      <c r="F315" s="5"/>
    </row>
    <row r="316" spans="4:6">
      <c r="D316" s="5"/>
      <c r="E316" s="5"/>
      <c r="F316" s="5"/>
    </row>
    <row r="317" spans="4:6">
      <c r="D317" s="5"/>
      <c r="E317" s="5"/>
      <c r="F317" s="5"/>
    </row>
    <row r="318" spans="4:6">
      <c r="D318" s="5"/>
      <c r="E318" s="5"/>
      <c r="F318" s="5"/>
    </row>
    <row r="319" spans="4:6">
      <c r="D319" s="5"/>
      <c r="E319" s="5"/>
      <c r="F319" s="5"/>
    </row>
    <row r="320" spans="4:6">
      <c r="D320" s="5"/>
      <c r="E320" s="5"/>
      <c r="F320" s="5"/>
    </row>
    <row r="321" spans="4:6">
      <c r="D321" s="5"/>
      <c r="E321" s="5"/>
      <c r="F321" s="5"/>
    </row>
    <row r="322" spans="4:6">
      <c r="D322" s="5"/>
      <c r="E322" s="5"/>
      <c r="F322" s="5"/>
    </row>
    <row r="323" spans="4:6">
      <c r="D323" s="5"/>
      <c r="E323" s="5"/>
      <c r="F323" s="5"/>
    </row>
    <row r="324" spans="4:6">
      <c r="D324" s="5"/>
      <c r="E324" s="5"/>
      <c r="F324" s="5"/>
    </row>
    <row r="325" spans="4:6">
      <c r="D325" s="5"/>
      <c r="E325" s="5"/>
      <c r="F325" s="5"/>
    </row>
    <row r="326" spans="4:6">
      <c r="D326" s="5"/>
      <c r="E326" s="5"/>
      <c r="F326" s="5"/>
    </row>
    <row r="327" spans="4:6">
      <c r="D327" s="5"/>
      <c r="E327" s="5"/>
      <c r="F327" s="5"/>
    </row>
    <row r="328" spans="4:6">
      <c r="D328" s="5"/>
      <c r="E328" s="5"/>
      <c r="F328" s="5"/>
    </row>
    <row r="329" spans="4:6">
      <c r="D329" s="5"/>
      <c r="E329" s="5"/>
      <c r="F329" s="5"/>
    </row>
    <row r="330" spans="4:6">
      <c r="D330" s="5"/>
      <c r="E330" s="5"/>
      <c r="F330" s="5"/>
    </row>
    <row r="331" spans="4:6">
      <c r="D331" s="5"/>
      <c r="E331" s="5"/>
      <c r="F331" s="5"/>
    </row>
    <row r="332" spans="4:6">
      <c r="D332" s="5"/>
      <c r="E332" s="5"/>
      <c r="F332" s="5"/>
    </row>
    <row r="333" spans="4:6">
      <c r="D333" s="5"/>
      <c r="E333" s="5"/>
      <c r="F333" s="5"/>
    </row>
    <row r="334" spans="4:6">
      <c r="D334" s="5"/>
      <c r="E334" s="5"/>
      <c r="F334" s="5"/>
    </row>
    <row r="335" spans="4:6">
      <c r="D335" s="5"/>
      <c r="E335" s="5"/>
      <c r="F335" s="5"/>
    </row>
    <row r="336" spans="4:6">
      <c r="D336" s="5"/>
      <c r="E336" s="5"/>
      <c r="F336" s="5"/>
    </row>
    <row r="337" spans="4:6">
      <c r="D337" s="5"/>
      <c r="E337" s="5"/>
      <c r="F337" s="5"/>
    </row>
    <row r="338" spans="4:6">
      <c r="D338" s="5"/>
      <c r="E338" s="5"/>
      <c r="F338" s="5"/>
    </row>
    <row r="339" spans="4:6">
      <c r="D339" s="5"/>
      <c r="E339" s="5"/>
      <c r="F339" s="5"/>
    </row>
    <row r="340" spans="4:6">
      <c r="D340" s="5"/>
      <c r="E340" s="5"/>
      <c r="F340" s="5"/>
    </row>
    <row r="341" spans="4:6">
      <c r="D341" s="5"/>
      <c r="E341" s="5"/>
      <c r="F341" s="5"/>
    </row>
    <row r="342" spans="4:6">
      <c r="D342" s="5"/>
      <c r="E342" s="5"/>
      <c r="F342" s="5"/>
    </row>
    <row r="343" spans="4:6">
      <c r="D343" s="5"/>
      <c r="E343" s="5"/>
      <c r="F343" s="5"/>
    </row>
    <row r="344" spans="4:6">
      <c r="D344" s="5"/>
      <c r="E344" s="5"/>
      <c r="F344" s="5"/>
    </row>
    <row r="345" spans="4:6">
      <c r="D345" s="5"/>
      <c r="E345" s="5"/>
      <c r="F345" s="5"/>
    </row>
    <row r="346" spans="4:6">
      <c r="D346" s="5"/>
      <c r="E346" s="5"/>
      <c r="F346" s="5"/>
    </row>
    <row r="347" spans="4:6">
      <c r="D347" s="5"/>
      <c r="E347" s="5"/>
      <c r="F347" s="5"/>
    </row>
    <row r="348" spans="4:6">
      <c r="D348" s="5"/>
      <c r="E348" s="5"/>
      <c r="F348" s="5"/>
    </row>
    <row r="349" spans="4:6">
      <c r="D349" s="5"/>
      <c r="E349" s="5"/>
      <c r="F349" s="5"/>
    </row>
    <row r="350" spans="4:6">
      <c r="D350" s="5"/>
      <c r="E350" s="5"/>
      <c r="F350" s="5"/>
    </row>
    <row r="351" spans="4:6">
      <c r="D351" s="5"/>
      <c r="E351" s="5"/>
      <c r="F351" s="5"/>
    </row>
    <row r="352" spans="4:6">
      <c r="D352" s="5"/>
      <c r="E352" s="5"/>
      <c r="F352" s="5"/>
    </row>
    <row r="353" spans="4:6">
      <c r="D353" s="5"/>
      <c r="E353" s="5"/>
      <c r="F353" s="5"/>
    </row>
    <row r="354" spans="4:6">
      <c r="D354" s="5"/>
      <c r="E354" s="5"/>
      <c r="F354" s="5"/>
    </row>
    <row r="355" spans="4:6">
      <c r="D355" s="5"/>
      <c r="E355" s="5"/>
      <c r="F355" s="5"/>
    </row>
    <row r="356" spans="4:6">
      <c r="D356" s="5"/>
      <c r="E356" s="5"/>
      <c r="F356" s="5"/>
    </row>
    <row r="357" spans="4:6">
      <c r="D357" s="5"/>
      <c r="E357" s="5"/>
      <c r="F357" s="5"/>
    </row>
    <row r="358" spans="4:6">
      <c r="D358" s="5"/>
      <c r="E358" s="5"/>
      <c r="F358" s="5"/>
    </row>
    <row r="359" spans="4:6">
      <c r="D359" s="5"/>
      <c r="E359" s="5"/>
      <c r="F359" s="5"/>
    </row>
    <row r="360" spans="4:6">
      <c r="D360" s="5"/>
      <c r="E360" s="5"/>
      <c r="F360" s="5"/>
    </row>
    <row r="361" spans="4:6">
      <c r="D361" s="5"/>
      <c r="E361" s="5"/>
      <c r="F361" s="5"/>
    </row>
    <row r="362" spans="4:6">
      <c r="D362" s="5"/>
      <c r="E362" s="5"/>
      <c r="F362" s="5"/>
    </row>
    <row r="363" spans="4:6">
      <c r="D363" s="5"/>
      <c r="E363" s="5"/>
      <c r="F363" s="5"/>
    </row>
    <row r="364" spans="4:6">
      <c r="D364" s="5"/>
      <c r="E364" s="5"/>
      <c r="F364" s="5"/>
    </row>
    <row r="365" spans="4:6">
      <c r="D365" s="5"/>
      <c r="E365" s="5"/>
      <c r="F365" s="5"/>
    </row>
    <row r="366" spans="4:6">
      <c r="D366" s="5"/>
      <c r="E366" s="5"/>
      <c r="F366" s="5"/>
    </row>
    <row r="367" spans="4:6">
      <c r="D367" s="5"/>
      <c r="E367" s="5"/>
      <c r="F367" s="5"/>
    </row>
    <row r="368" spans="4:6">
      <c r="D368" s="5"/>
      <c r="E368" s="5"/>
      <c r="F368" s="5"/>
    </row>
    <row r="369" spans="4:6">
      <c r="D369" s="5"/>
      <c r="E369" s="5"/>
      <c r="F369" s="5"/>
    </row>
    <row r="370" spans="4:6">
      <c r="D370" s="5"/>
      <c r="E370" s="5"/>
      <c r="F370" s="5"/>
    </row>
    <row r="371" spans="4:6">
      <c r="D371" s="5"/>
      <c r="E371" s="5"/>
      <c r="F371" s="5"/>
    </row>
    <row r="372" spans="4:6">
      <c r="D372" s="5"/>
      <c r="E372" s="5"/>
      <c r="F372" s="5"/>
    </row>
    <row r="373" spans="4:6">
      <c r="D373" s="5"/>
      <c r="E373" s="5"/>
      <c r="F373" s="5"/>
    </row>
    <row r="374" spans="4:6">
      <c r="D374" s="5"/>
      <c r="E374" s="5"/>
      <c r="F374" s="5"/>
    </row>
    <row r="375" spans="4:6">
      <c r="D375" s="5"/>
      <c r="E375" s="5"/>
      <c r="F375" s="5"/>
    </row>
    <row r="376" spans="4:6">
      <c r="D376" s="5"/>
      <c r="E376" s="5"/>
      <c r="F376" s="5"/>
    </row>
    <row r="377" spans="4:6">
      <c r="D377" s="5"/>
      <c r="E377" s="5"/>
      <c r="F377" s="5"/>
    </row>
    <row r="378" spans="4:6">
      <c r="D378" s="5"/>
      <c r="E378" s="5"/>
      <c r="F378" s="5"/>
    </row>
    <row r="379" spans="4:6">
      <c r="D379" s="5"/>
      <c r="E379" s="5"/>
      <c r="F379" s="5"/>
    </row>
    <row r="380" spans="4:6">
      <c r="D380" s="5"/>
      <c r="E380" s="5"/>
      <c r="F380" s="5"/>
    </row>
    <row r="381" spans="4:6">
      <c r="D381" s="5"/>
      <c r="E381" s="5"/>
      <c r="F381" s="5"/>
    </row>
    <row r="382" spans="4:6">
      <c r="D382" s="5"/>
      <c r="E382" s="5"/>
      <c r="F382" s="5"/>
    </row>
    <row r="383" spans="4:6">
      <c r="D383" s="5"/>
      <c r="E383" s="5"/>
      <c r="F383" s="5"/>
    </row>
    <row r="384" spans="4:6">
      <c r="D384" s="5"/>
      <c r="E384" s="5"/>
      <c r="F384" s="5"/>
    </row>
    <row r="385" spans="4:6">
      <c r="D385" s="5"/>
      <c r="E385" s="5"/>
      <c r="F385" s="5"/>
    </row>
    <row r="386" spans="4:6">
      <c r="D386" s="5"/>
      <c r="E386" s="5"/>
      <c r="F386" s="5"/>
    </row>
    <row r="387" spans="4:6">
      <c r="D387" s="5"/>
      <c r="E387" s="5"/>
      <c r="F387" s="5"/>
    </row>
    <row r="388" spans="4:6">
      <c r="D388" s="5"/>
      <c r="E388" s="5"/>
      <c r="F388" s="5"/>
    </row>
    <row r="389" spans="4:6">
      <c r="D389" s="5"/>
      <c r="E389" s="5"/>
      <c r="F389" s="5"/>
    </row>
    <row r="390" spans="4:6">
      <c r="D390" s="5"/>
      <c r="E390" s="5"/>
      <c r="F390" s="5"/>
    </row>
    <row r="391" spans="4:6">
      <c r="D391" s="5"/>
      <c r="E391" s="5"/>
      <c r="F391" s="5"/>
    </row>
  </sheetData>
  <mergeCells count="4">
    <mergeCell ref="A7:I7"/>
    <mergeCell ref="A4:P4"/>
    <mergeCell ref="A5:P5"/>
    <mergeCell ref="A6:P6"/>
  </mergeCells>
  <phoneticPr fontId="5" type="noConversion"/>
  <pageMargins left="0.75" right="0.75" top="1" bottom="1" header="0.5" footer="0.5"/>
  <pageSetup scale="42" orientation="landscape" r:id="rId1"/>
  <headerFooter alignWithMargins="0"/>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indexed="10"/>
    <pageSetUpPr fitToPage="1"/>
  </sheetPr>
  <dimension ref="A1:G384"/>
  <sheetViews>
    <sheetView zoomScaleNormal="100" workbookViewId="0">
      <selection activeCell="A4" sqref="A4:G4"/>
    </sheetView>
  </sheetViews>
  <sheetFormatPr defaultRowHeight="12.75"/>
  <cols>
    <col min="1" max="1" width="4.42578125" bestFit="1" customWidth="1"/>
    <col min="2" max="2" width="22.28515625" bestFit="1" customWidth="1"/>
    <col min="3" max="3" width="11.85546875" style="16" bestFit="1" customWidth="1"/>
    <col min="4" max="4" width="17.5703125" bestFit="1" customWidth="1"/>
    <col min="5" max="5" width="15.140625" customWidth="1"/>
    <col min="7" max="7" width="12.28515625" bestFit="1" customWidth="1"/>
    <col min="8" max="8" width="13.140625" customWidth="1"/>
  </cols>
  <sheetData>
    <row r="1" spans="1:7">
      <c r="G1" t="str">
        <f>A!D1</f>
        <v>Docket No. RP16-299-000</v>
      </c>
    </row>
    <row r="2" spans="1:7">
      <c r="G2" t="s">
        <v>318</v>
      </c>
    </row>
    <row r="4" spans="1:7">
      <c r="A4" s="927" t="str">
        <f>'F-3'!A4:U4</f>
        <v>Tuscarora Gas Transmission Company</v>
      </c>
      <c r="B4" s="927"/>
      <c r="C4" s="927"/>
      <c r="D4" s="927"/>
      <c r="E4" s="927"/>
      <c r="F4" s="927"/>
      <c r="G4" s="927"/>
    </row>
    <row r="5" spans="1:7">
      <c r="A5" s="927" t="s">
        <v>319</v>
      </c>
      <c r="B5" s="927"/>
      <c r="C5" s="927"/>
      <c r="D5" s="927"/>
      <c r="E5" s="927"/>
      <c r="F5" s="927"/>
      <c r="G5" s="927"/>
    </row>
    <row r="6" spans="1:7">
      <c r="A6" s="928">
        <f>'F-3'!A6:U6</f>
        <v>42369</v>
      </c>
      <c r="B6" s="928"/>
      <c r="C6" s="928"/>
      <c r="D6" s="928"/>
      <c r="E6" s="928"/>
      <c r="F6" s="928"/>
      <c r="G6" s="928"/>
    </row>
    <row r="7" spans="1:7">
      <c r="A7" s="927"/>
      <c r="B7" s="927"/>
      <c r="C7" s="927"/>
      <c r="D7" s="927"/>
      <c r="E7" s="927"/>
      <c r="F7" s="927"/>
      <c r="G7" s="927"/>
    </row>
    <row r="8" spans="1:7" s="2" customFormat="1">
      <c r="C8" s="14"/>
    </row>
    <row r="9" spans="1:7">
      <c r="C9"/>
    </row>
    <row r="10" spans="1:7">
      <c r="B10" t="s">
        <v>667</v>
      </c>
    </row>
    <row r="11" spans="1:7">
      <c r="C11"/>
    </row>
    <row r="12" spans="1:7">
      <c r="C12"/>
    </row>
    <row r="13" spans="1:7">
      <c r="C13"/>
    </row>
    <row r="14" spans="1:7">
      <c r="C14"/>
    </row>
    <row r="15" spans="1:7">
      <c r="C15"/>
    </row>
    <row r="16" spans="1:7">
      <c r="C16"/>
    </row>
    <row r="17" spans="3:3">
      <c r="C17"/>
    </row>
    <row r="18" spans="3:3">
      <c r="C18"/>
    </row>
    <row r="19" spans="3:3">
      <c r="C19"/>
    </row>
    <row r="20" spans="3:3">
      <c r="C20"/>
    </row>
    <row r="21" spans="3:3">
      <c r="C21"/>
    </row>
    <row r="22" spans="3:3">
      <c r="C22"/>
    </row>
    <row r="23" spans="3:3">
      <c r="C23"/>
    </row>
    <row r="24" spans="3:3">
      <c r="C24"/>
    </row>
    <row r="25" spans="3:3">
      <c r="C25"/>
    </row>
    <row r="26" spans="3:3">
      <c r="C26"/>
    </row>
    <row r="27" spans="3:3">
      <c r="C27"/>
    </row>
    <row r="28" spans="3:3">
      <c r="C28"/>
    </row>
    <row r="29" spans="3:3">
      <c r="C29"/>
    </row>
    <row r="30" spans="3:3">
      <c r="C30"/>
    </row>
    <row r="31" spans="3:3">
      <c r="C31"/>
    </row>
    <row r="32" spans="3:3">
      <c r="C32"/>
    </row>
    <row r="33" spans="3:3">
      <c r="C33"/>
    </row>
    <row r="34" spans="3:3">
      <c r="C34"/>
    </row>
    <row r="35" spans="3:3">
      <c r="C35"/>
    </row>
    <row r="36" spans="3:3">
      <c r="C36"/>
    </row>
    <row r="37" spans="3:3">
      <c r="C37"/>
    </row>
    <row r="38" spans="3:3">
      <c r="C38"/>
    </row>
    <row r="39" spans="3:3">
      <c r="C39"/>
    </row>
    <row r="40" spans="3:3">
      <c r="C40"/>
    </row>
    <row r="41" spans="3:3">
      <c r="C41"/>
    </row>
    <row r="42" spans="3:3">
      <c r="C42"/>
    </row>
    <row r="43" spans="3:3">
      <c r="C43"/>
    </row>
    <row r="44" spans="3:3">
      <c r="C44"/>
    </row>
    <row r="45" spans="3:3">
      <c r="C45"/>
    </row>
    <row r="46" spans="3:3">
      <c r="C46"/>
    </row>
    <row r="47" spans="3:3">
      <c r="C47"/>
    </row>
    <row r="48" spans="3:3">
      <c r="C48"/>
    </row>
    <row r="49" spans="3:3">
      <c r="C49"/>
    </row>
    <row r="50" spans="3:3">
      <c r="C50"/>
    </row>
    <row r="51" spans="3:3">
      <c r="C51"/>
    </row>
    <row r="52" spans="3:3">
      <c r="C52"/>
    </row>
    <row r="53" spans="3:3">
      <c r="C53"/>
    </row>
    <row r="54" spans="3:3">
      <c r="C54"/>
    </row>
    <row r="55" spans="3:3">
      <c r="C55"/>
    </row>
    <row r="56" spans="3:3">
      <c r="C56"/>
    </row>
    <row r="57" spans="3:3">
      <c r="C57"/>
    </row>
    <row r="58" spans="3:3">
      <c r="C58"/>
    </row>
    <row r="59" spans="3:3">
      <c r="C59"/>
    </row>
    <row r="60" spans="3:3">
      <c r="C60"/>
    </row>
    <row r="61" spans="3:3">
      <c r="C61"/>
    </row>
    <row r="62" spans="3:3">
      <c r="C62"/>
    </row>
    <row r="63" spans="3:3">
      <c r="C63"/>
    </row>
    <row r="64" spans="3:3">
      <c r="C64"/>
    </row>
    <row r="65" spans="3:3">
      <c r="C65"/>
    </row>
    <row r="66" spans="3:3">
      <c r="C66"/>
    </row>
    <row r="67" spans="3:3">
      <c r="C67"/>
    </row>
    <row r="68" spans="3:3">
      <c r="C68"/>
    </row>
    <row r="69" spans="3:3">
      <c r="C69"/>
    </row>
    <row r="70" spans="3:3">
      <c r="C70"/>
    </row>
    <row r="71" spans="3:3">
      <c r="C71"/>
    </row>
    <row r="72" spans="3:3">
      <c r="C72"/>
    </row>
    <row r="73" spans="3:3">
      <c r="C73"/>
    </row>
    <row r="74" spans="3:3">
      <c r="C74"/>
    </row>
    <row r="75" spans="3:3">
      <c r="C75"/>
    </row>
    <row r="76" spans="3:3">
      <c r="C76"/>
    </row>
    <row r="77" spans="3:3">
      <c r="C77"/>
    </row>
    <row r="78" spans="3:3">
      <c r="C78"/>
    </row>
    <row r="79" spans="3:3">
      <c r="C79"/>
    </row>
    <row r="80" spans="3:3">
      <c r="C80"/>
    </row>
    <row r="81" spans="3:5">
      <c r="C81"/>
    </row>
    <row r="82" spans="3:5">
      <c r="C82"/>
    </row>
    <row r="83" spans="3:5">
      <c r="C83"/>
    </row>
    <row r="84" spans="3:5">
      <c r="C84"/>
    </row>
    <row r="85" spans="3:5">
      <c r="C85"/>
    </row>
    <row r="86" spans="3:5">
      <c r="C86"/>
    </row>
    <row r="87" spans="3:5">
      <c r="C87"/>
    </row>
    <row r="88" spans="3:5">
      <c r="C88"/>
    </row>
    <row r="89" spans="3:5">
      <c r="C89"/>
    </row>
    <row r="90" spans="3:5">
      <c r="D90" s="5"/>
      <c r="E90" s="5"/>
    </row>
    <row r="91" spans="3:5">
      <c r="D91" s="5"/>
      <c r="E91" s="5"/>
    </row>
    <row r="92" spans="3:5">
      <c r="D92" s="5"/>
      <c r="E92" s="5"/>
    </row>
    <row r="93" spans="3:5">
      <c r="D93" s="5"/>
      <c r="E93" s="5"/>
    </row>
    <row r="94" spans="3:5">
      <c r="D94" s="5"/>
      <c r="E94" s="5"/>
    </row>
    <row r="95" spans="3:5">
      <c r="D95" s="5"/>
      <c r="E95" s="5"/>
    </row>
    <row r="96" spans="3:5">
      <c r="D96" s="5"/>
      <c r="E96" s="5"/>
    </row>
    <row r="97" spans="4:5">
      <c r="D97" s="5"/>
      <c r="E97" s="5"/>
    </row>
    <row r="98" spans="4:5">
      <c r="D98" s="5"/>
      <c r="E98" s="5"/>
    </row>
    <row r="99" spans="4:5">
      <c r="D99" s="5"/>
      <c r="E99" s="5"/>
    </row>
    <row r="100" spans="4:5">
      <c r="D100" s="5"/>
      <c r="E100" s="5"/>
    </row>
    <row r="101" spans="4:5">
      <c r="D101" s="5"/>
      <c r="E101" s="5"/>
    </row>
    <row r="102" spans="4:5">
      <c r="D102" s="5"/>
      <c r="E102" s="5"/>
    </row>
    <row r="103" spans="4:5">
      <c r="D103" s="5"/>
      <c r="E103" s="5"/>
    </row>
    <row r="104" spans="4:5">
      <c r="D104" s="5"/>
      <c r="E104" s="5"/>
    </row>
    <row r="105" spans="4:5">
      <c r="D105" s="5"/>
      <c r="E105" s="5"/>
    </row>
    <row r="106" spans="4:5">
      <c r="D106" s="5"/>
      <c r="E106" s="5"/>
    </row>
    <row r="107" spans="4:5">
      <c r="D107" s="5"/>
      <c r="E107" s="5"/>
    </row>
    <row r="108" spans="4:5">
      <c r="D108" s="5"/>
      <c r="E108" s="5"/>
    </row>
    <row r="109" spans="4:5">
      <c r="D109" s="5"/>
      <c r="E109" s="5"/>
    </row>
    <row r="110" spans="4:5">
      <c r="D110" s="5"/>
      <c r="E110" s="5"/>
    </row>
    <row r="111" spans="4:5">
      <c r="D111" s="5"/>
      <c r="E111" s="5"/>
    </row>
    <row r="112" spans="4:5">
      <c r="D112" s="5"/>
      <c r="E112" s="5"/>
    </row>
    <row r="113" spans="4:5">
      <c r="D113" s="5"/>
      <c r="E113" s="5"/>
    </row>
    <row r="114" spans="4:5">
      <c r="D114" s="5"/>
      <c r="E114" s="5"/>
    </row>
    <row r="115" spans="4:5">
      <c r="D115" s="5"/>
      <c r="E115" s="5"/>
    </row>
    <row r="116" spans="4:5">
      <c r="D116" s="5"/>
      <c r="E116" s="5"/>
    </row>
    <row r="117" spans="4:5">
      <c r="D117" s="5"/>
      <c r="E117" s="5"/>
    </row>
    <row r="118" spans="4:5">
      <c r="D118" s="5"/>
      <c r="E118" s="5"/>
    </row>
    <row r="119" spans="4:5">
      <c r="D119" s="5"/>
      <c r="E119" s="5"/>
    </row>
    <row r="120" spans="4:5">
      <c r="D120" s="5"/>
      <c r="E120" s="5"/>
    </row>
    <row r="121" spans="4:5">
      <c r="D121" s="5"/>
      <c r="E121" s="5"/>
    </row>
    <row r="122" spans="4:5">
      <c r="D122" s="5"/>
      <c r="E122" s="5"/>
    </row>
    <row r="123" spans="4:5">
      <c r="D123" s="5"/>
      <c r="E123" s="5"/>
    </row>
    <row r="124" spans="4:5">
      <c r="D124" s="5"/>
      <c r="E124" s="5"/>
    </row>
    <row r="125" spans="4:5">
      <c r="D125" s="5"/>
      <c r="E125" s="5"/>
    </row>
    <row r="126" spans="4:5">
      <c r="D126" s="5"/>
      <c r="E126" s="5"/>
    </row>
    <row r="127" spans="4:5">
      <c r="D127" s="5"/>
      <c r="E127" s="5"/>
    </row>
    <row r="128" spans="4:5">
      <c r="D128" s="5"/>
      <c r="E128" s="5"/>
    </row>
    <row r="129" spans="4:5">
      <c r="D129" s="5"/>
      <c r="E129" s="5"/>
    </row>
    <row r="130" spans="4:5">
      <c r="D130" s="5"/>
      <c r="E130" s="5"/>
    </row>
    <row r="131" spans="4:5">
      <c r="D131" s="5"/>
      <c r="E131" s="5"/>
    </row>
    <row r="132" spans="4:5">
      <c r="D132" s="5"/>
      <c r="E132" s="5"/>
    </row>
    <row r="133" spans="4:5">
      <c r="D133" s="5"/>
      <c r="E133" s="5"/>
    </row>
    <row r="134" spans="4:5">
      <c r="D134" s="5"/>
      <c r="E134" s="5"/>
    </row>
    <row r="135" spans="4:5">
      <c r="D135" s="5"/>
      <c r="E135" s="5"/>
    </row>
    <row r="136" spans="4:5">
      <c r="D136" s="5"/>
      <c r="E136" s="5"/>
    </row>
    <row r="137" spans="4:5">
      <c r="D137" s="5"/>
      <c r="E137" s="5"/>
    </row>
    <row r="138" spans="4:5">
      <c r="D138" s="5"/>
      <c r="E138" s="5"/>
    </row>
    <row r="139" spans="4:5">
      <c r="D139" s="5"/>
      <c r="E139" s="5"/>
    </row>
    <row r="140" spans="4:5">
      <c r="D140" s="5"/>
      <c r="E140" s="5"/>
    </row>
    <row r="141" spans="4:5">
      <c r="D141" s="5"/>
      <c r="E141" s="5"/>
    </row>
    <row r="142" spans="4:5">
      <c r="D142" s="5"/>
      <c r="E142" s="5"/>
    </row>
    <row r="143" spans="4:5">
      <c r="D143" s="5"/>
      <c r="E143" s="5"/>
    </row>
    <row r="144" spans="4:5">
      <c r="D144" s="5"/>
      <c r="E144" s="5"/>
    </row>
    <row r="145" spans="4:5">
      <c r="D145" s="5"/>
      <c r="E145" s="5"/>
    </row>
    <row r="146" spans="4:5">
      <c r="D146" s="5"/>
      <c r="E146" s="5"/>
    </row>
    <row r="147" spans="4:5">
      <c r="D147" s="5"/>
      <c r="E147" s="5"/>
    </row>
    <row r="148" spans="4:5">
      <c r="D148" s="5"/>
      <c r="E148" s="5"/>
    </row>
    <row r="149" spans="4:5">
      <c r="D149" s="5"/>
      <c r="E149" s="5"/>
    </row>
    <row r="150" spans="4:5">
      <c r="D150" s="5"/>
      <c r="E150" s="5"/>
    </row>
    <row r="151" spans="4:5">
      <c r="D151" s="5"/>
      <c r="E151" s="5"/>
    </row>
    <row r="152" spans="4:5">
      <c r="D152" s="5"/>
      <c r="E152" s="5"/>
    </row>
    <row r="153" spans="4:5">
      <c r="D153" s="5"/>
      <c r="E153" s="5"/>
    </row>
    <row r="154" spans="4:5">
      <c r="D154" s="5"/>
      <c r="E154" s="5"/>
    </row>
    <row r="155" spans="4:5">
      <c r="D155" s="5"/>
      <c r="E155" s="5"/>
    </row>
    <row r="156" spans="4:5">
      <c r="D156" s="5"/>
      <c r="E156" s="5"/>
    </row>
    <row r="157" spans="4:5">
      <c r="D157" s="5"/>
      <c r="E157" s="5"/>
    </row>
    <row r="158" spans="4:5">
      <c r="D158" s="5"/>
      <c r="E158" s="5"/>
    </row>
    <row r="159" spans="4:5">
      <c r="D159" s="5"/>
      <c r="E159" s="5"/>
    </row>
    <row r="160" spans="4:5">
      <c r="D160" s="5"/>
      <c r="E160" s="5"/>
    </row>
    <row r="161" spans="4:5">
      <c r="D161" s="5"/>
      <c r="E161" s="5"/>
    </row>
    <row r="162" spans="4:5">
      <c r="D162" s="5"/>
      <c r="E162" s="5"/>
    </row>
    <row r="163" spans="4:5">
      <c r="D163" s="5"/>
      <c r="E163" s="5"/>
    </row>
    <row r="164" spans="4:5">
      <c r="D164" s="5"/>
      <c r="E164" s="5"/>
    </row>
    <row r="165" spans="4:5">
      <c r="D165" s="5"/>
      <c r="E165" s="5"/>
    </row>
    <row r="166" spans="4:5">
      <c r="D166" s="5"/>
      <c r="E166" s="5"/>
    </row>
    <row r="167" spans="4:5">
      <c r="D167" s="5"/>
      <c r="E167" s="5"/>
    </row>
    <row r="168" spans="4:5">
      <c r="D168" s="5"/>
      <c r="E168" s="5"/>
    </row>
    <row r="169" spans="4:5">
      <c r="D169" s="5"/>
      <c r="E169" s="5"/>
    </row>
    <row r="170" spans="4:5">
      <c r="D170" s="5"/>
      <c r="E170" s="5"/>
    </row>
    <row r="171" spans="4:5">
      <c r="D171" s="5"/>
      <c r="E171" s="5"/>
    </row>
    <row r="172" spans="4:5">
      <c r="D172" s="5"/>
      <c r="E172" s="5"/>
    </row>
    <row r="173" spans="4:5">
      <c r="D173" s="5"/>
      <c r="E173" s="5"/>
    </row>
    <row r="174" spans="4:5">
      <c r="D174" s="5"/>
      <c r="E174" s="5"/>
    </row>
    <row r="175" spans="4:5">
      <c r="D175" s="5"/>
      <c r="E175" s="5"/>
    </row>
    <row r="176" spans="4:5">
      <c r="D176" s="5"/>
      <c r="E176" s="5"/>
    </row>
    <row r="177" spans="4:5">
      <c r="D177" s="5"/>
      <c r="E177" s="5"/>
    </row>
    <row r="178" spans="4:5">
      <c r="D178" s="5"/>
      <c r="E178" s="5"/>
    </row>
    <row r="179" spans="4:5">
      <c r="D179" s="5"/>
      <c r="E179" s="5"/>
    </row>
    <row r="180" spans="4:5">
      <c r="D180" s="5"/>
      <c r="E180" s="5"/>
    </row>
    <row r="181" spans="4:5">
      <c r="D181" s="5"/>
      <c r="E181" s="5"/>
    </row>
    <row r="182" spans="4:5">
      <c r="D182" s="5"/>
      <c r="E182" s="5"/>
    </row>
    <row r="183" spans="4:5">
      <c r="D183" s="5"/>
      <c r="E183" s="5"/>
    </row>
    <row r="184" spans="4:5">
      <c r="D184" s="5"/>
      <c r="E184" s="5"/>
    </row>
    <row r="185" spans="4:5">
      <c r="D185" s="5"/>
      <c r="E185" s="5"/>
    </row>
    <row r="186" spans="4:5">
      <c r="D186" s="5"/>
      <c r="E186" s="5"/>
    </row>
    <row r="187" spans="4:5">
      <c r="D187" s="5"/>
      <c r="E187" s="5"/>
    </row>
    <row r="188" spans="4:5">
      <c r="D188" s="5"/>
      <c r="E188" s="5"/>
    </row>
    <row r="189" spans="4:5">
      <c r="D189" s="5"/>
      <c r="E189" s="5"/>
    </row>
    <row r="190" spans="4:5">
      <c r="D190" s="5"/>
      <c r="E190" s="5"/>
    </row>
    <row r="191" spans="4:5">
      <c r="D191" s="5"/>
      <c r="E191" s="5"/>
    </row>
    <row r="192" spans="4:5">
      <c r="D192" s="5"/>
      <c r="E192" s="5"/>
    </row>
    <row r="193" spans="4:5">
      <c r="D193" s="5"/>
      <c r="E193" s="5"/>
    </row>
    <row r="194" spans="4:5">
      <c r="D194" s="5"/>
      <c r="E194" s="5"/>
    </row>
    <row r="195" spans="4:5">
      <c r="D195" s="5"/>
      <c r="E195" s="5"/>
    </row>
    <row r="196" spans="4:5">
      <c r="D196" s="5"/>
      <c r="E196" s="5"/>
    </row>
    <row r="197" spans="4:5">
      <c r="D197" s="5"/>
      <c r="E197" s="5"/>
    </row>
    <row r="198" spans="4:5">
      <c r="D198" s="5"/>
      <c r="E198" s="5"/>
    </row>
    <row r="199" spans="4:5">
      <c r="D199" s="5"/>
      <c r="E199" s="5"/>
    </row>
    <row r="200" spans="4:5">
      <c r="D200" s="5"/>
      <c r="E200" s="5"/>
    </row>
    <row r="201" spans="4:5">
      <c r="D201" s="5"/>
      <c r="E201" s="5"/>
    </row>
    <row r="202" spans="4:5">
      <c r="D202" s="5"/>
      <c r="E202" s="5"/>
    </row>
    <row r="203" spans="4:5">
      <c r="D203" s="5"/>
      <c r="E203" s="5"/>
    </row>
    <row r="204" spans="4:5">
      <c r="D204" s="5"/>
      <c r="E204" s="5"/>
    </row>
    <row r="205" spans="4:5">
      <c r="D205" s="5"/>
      <c r="E205" s="5"/>
    </row>
    <row r="206" spans="4:5">
      <c r="D206" s="5"/>
      <c r="E206" s="5"/>
    </row>
    <row r="207" spans="4:5">
      <c r="D207" s="5"/>
      <c r="E207" s="5"/>
    </row>
    <row r="208" spans="4:5">
      <c r="D208" s="5"/>
      <c r="E208" s="5"/>
    </row>
    <row r="209" spans="4:5">
      <c r="D209" s="5"/>
      <c r="E209" s="5"/>
    </row>
    <row r="210" spans="4:5">
      <c r="D210" s="5"/>
      <c r="E210" s="5"/>
    </row>
    <row r="211" spans="4:5">
      <c r="D211" s="5"/>
      <c r="E211" s="5"/>
    </row>
    <row r="212" spans="4:5">
      <c r="D212" s="5"/>
      <c r="E212" s="5"/>
    </row>
    <row r="213" spans="4:5">
      <c r="D213" s="5"/>
      <c r="E213" s="5"/>
    </row>
    <row r="214" spans="4:5">
      <c r="D214" s="5"/>
      <c r="E214" s="5"/>
    </row>
    <row r="215" spans="4:5">
      <c r="D215" s="5"/>
      <c r="E215" s="5"/>
    </row>
    <row r="216" spans="4:5">
      <c r="D216" s="5"/>
      <c r="E216" s="5"/>
    </row>
    <row r="217" spans="4:5">
      <c r="D217" s="5"/>
      <c r="E217" s="5"/>
    </row>
    <row r="218" spans="4:5">
      <c r="D218" s="5"/>
      <c r="E218" s="5"/>
    </row>
    <row r="219" spans="4:5">
      <c r="D219" s="5"/>
      <c r="E219" s="5"/>
    </row>
    <row r="220" spans="4:5">
      <c r="D220" s="5"/>
      <c r="E220" s="5"/>
    </row>
    <row r="221" spans="4:5">
      <c r="D221" s="5"/>
      <c r="E221" s="5"/>
    </row>
    <row r="222" spans="4:5">
      <c r="D222" s="5"/>
      <c r="E222" s="5"/>
    </row>
    <row r="223" spans="4:5">
      <c r="D223" s="5"/>
      <c r="E223" s="5"/>
    </row>
    <row r="224" spans="4:5">
      <c r="D224" s="5"/>
      <c r="E224" s="5"/>
    </row>
    <row r="225" spans="4:5">
      <c r="D225" s="5"/>
      <c r="E225" s="5"/>
    </row>
    <row r="226" spans="4:5">
      <c r="D226" s="5"/>
      <c r="E226" s="5"/>
    </row>
    <row r="227" spans="4:5">
      <c r="D227" s="5"/>
      <c r="E227" s="5"/>
    </row>
    <row r="228" spans="4:5">
      <c r="D228" s="5"/>
      <c r="E228" s="5"/>
    </row>
    <row r="229" spans="4:5">
      <c r="D229" s="5"/>
      <c r="E229" s="5"/>
    </row>
    <row r="230" spans="4:5">
      <c r="D230" s="5"/>
      <c r="E230" s="5"/>
    </row>
    <row r="231" spans="4:5">
      <c r="D231" s="5"/>
      <c r="E231" s="5"/>
    </row>
    <row r="232" spans="4:5">
      <c r="D232" s="5"/>
      <c r="E232" s="5"/>
    </row>
    <row r="233" spans="4:5">
      <c r="D233" s="5"/>
      <c r="E233" s="5"/>
    </row>
    <row r="234" spans="4:5">
      <c r="D234" s="5"/>
      <c r="E234" s="5"/>
    </row>
    <row r="235" spans="4:5">
      <c r="D235" s="5"/>
      <c r="E235" s="5"/>
    </row>
    <row r="236" spans="4:5">
      <c r="D236" s="5"/>
      <c r="E236" s="5"/>
    </row>
    <row r="237" spans="4:5">
      <c r="D237" s="5"/>
      <c r="E237" s="5"/>
    </row>
    <row r="238" spans="4:5">
      <c r="D238" s="5"/>
      <c r="E238" s="5"/>
    </row>
    <row r="239" spans="4:5">
      <c r="D239" s="5"/>
      <c r="E239" s="5"/>
    </row>
    <row r="240" spans="4:5">
      <c r="D240" s="5"/>
      <c r="E240" s="5"/>
    </row>
    <row r="241" spans="4:5">
      <c r="D241" s="5"/>
      <c r="E241" s="5"/>
    </row>
    <row r="242" spans="4:5">
      <c r="D242" s="5"/>
      <c r="E242" s="5"/>
    </row>
    <row r="243" spans="4:5">
      <c r="D243" s="5"/>
      <c r="E243" s="5"/>
    </row>
    <row r="244" spans="4:5">
      <c r="D244" s="5"/>
      <c r="E244" s="5"/>
    </row>
    <row r="245" spans="4:5">
      <c r="D245" s="5"/>
      <c r="E245" s="5"/>
    </row>
    <row r="246" spans="4:5">
      <c r="D246" s="5"/>
      <c r="E246" s="5"/>
    </row>
    <row r="247" spans="4:5">
      <c r="D247" s="5"/>
      <c r="E247" s="5"/>
    </row>
    <row r="248" spans="4:5">
      <c r="D248" s="5"/>
      <c r="E248" s="5"/>
    </row>
    <row r="249" spans="4:5">
      <c r="D249" s="5"/>
      <c r="E249" s="5"/>
    </row>
    <row r="250" spans="4:5">
      <c r="D250" s="5"/>
      <c r="E250" s="5"/>
    </row>
    <row r="251" spans="4:5">
      <c r="D251" s="5"/>
      <c r="E251" s="5"/>
    </row>
    <row r="252" spans="4:5">
      <c r="D252" s="5"/>
      <c r="E252" s="5"/>
    </row>
    <row r="253" spans="4:5">
      <c r="D253" s="5"/>
      <c r="E253" s="5"/>
    </row>
    <row r="254" spans="4:5">
      <c r="D254" s="5"/>
      <c r="E254" s="5"/>
    </row>
    <row r="255" spans="4:5">
      <c r="D255" s="5"/>
      <c r="E255" s="5"/>
    </row>
    <row r="256" spans="4:5">
      <c r="D256" s="5"/>
      <c r="E256" s="5"/>
    </row>
    <row r="257" spans="4:5">
      <c r="D257" s="5"/>
      <c r="E257" s="5"/>
    </row>
    <row r="258" spans="4:5">
      <c r="D258" s="5"/>
      <c r="E258" s="5"/>
    </row>
    <row r="259" spans="4:5">
      <c r="D259" s="5"/>
      <c r="E259" s="5"/>
    </row>
    <row r="260" spans="4:5">
      <c r="D260" s="5"/>
      <c r="E260" s="5"/>
    </row>
    <row r="261" spans="4:5">
      <c r="D261" s="5"/>
      <c r="E261" s="5"/>
    </row>
    <row r="262" spans="4:5">
      <c r="D262" s="5"/>
      <c r="E262" s="5"/>
    </row>
    <row r="263" spans="4:5">
      <c r="D263" s="5"/>
      <c r="E263" s="5"/>
    </row>
    <row r="264" spans="4:5">
      <c r="D264" s="5"/>
      <c r="E264" s="5"/>
    </row>
    <row r="265" spans="4:5">
      <c r="D265" s="5"/>
      <c r="E265" s="5"/>
    </row>
    <row r="266" spans="4:5">
      <c r="D266" s="5"/>
      <c r="E266" s="5"/>
    </row>
    <row r="267" spans="4:5">
      <c r="D267" s="5"/>
      <c r="E267" s="5"/>
    </row>
    <row r="268" spans="4:5">
      <c r="D268" s="5"/>
      <c r="E268" s="5"/>
    </row>
    <row r="269" spans="4:5">
      <c r="D269" s="5"/>
      <c r="E269" s="5"/>
    </row>
    <row r="270" spans="4:5">
      <c r="D270" s="5"/>
      <c r="E270" s="5"/>
    </row>
    <row r="271" spans="4:5">
      <c r="D271" s="5"/>
      <c r="E271" s="5"/>
    </row>
    <row r="272" spans="4:5">
      <c r="D272" s="5"/>
      <c r="E272" s="5"/>
    </row>
    <row r="273" spans="4:5">
      <c r="D273" s="5"/>
      <c r="E273" s="5"/>
    </row>
    <row r="274" spans="4:5">
      <c r="D274" s="5"/>
      <c r="E274" s="5"/>
    </row>
    <row r="275" spans="4:5">
      <c r="D275" s="5"/>
      <c r="E275" s="5"/>
    </row>
    <row r="276" spans="4:5">
      <c r="D276" s="5"/>
      <c r="E276" s="5"/>
    </row>
    <row r="277" spans="4:5">
      <c r="D277" s="5"/>
      <c r="E277" s="5"/>
    </row>
    <row r="278" spans="4:5">
      <c r="D278" s="5"/>
      <c r="E278" s="5"/>
    </row>
    <row r="279" spans="4:5">
      <c r="D279" s="5"/>
      <c r="E279" s="5"/>
    </row>
    <row r="280" spans="4:5">
      <c r="D280" s="5"/>
      <c r="E280" s="5"/>
    </row>
    <row r="281" spans="4:5">
      <c r="D281" s="5"/>
      <c r="E281" s="5"/>
    </row>
    <row r="282" spans="4:5">
      <c r="D282" s="5"/>
      <c r="E282" s="5"/>
    </row>
    <row r="283" spans="4:5">
      <c r="D283" s="5"/>
      <c r="E283" s="5"/>
    </row>
    <row r="284" spans="4:5">
      <c r="D284" s="5"/>
      <c r="E284" s="5"/>
    </row>
    <row r="285" spans="4:5">
      <c r="D285" s="5"/>
      <c r="E285" s="5"/>
    </row>
    <row r="286" spans="4:5">
      <c r="D286" s="5"/>
      <c r="E286" s="5"/>
    </row>
    <row r="287" spans="4:5">
      <c r="D287" s="5"/>
      <c r="E287" s="5"/>
    </row>
    <row r="288" spans="4:5">
      <c r="D288" s="5"/>
      <c r="E288" s="5"/>
    </row>
    <row r="289" spans="4:5">
      <c r="D289" s="5"/>
      <c r="E289" s="5"/>
    </row>
    <row r="290" spans="4:5">
      <c r="D290" s="5"/>
      <c r="E290" s="5"/>
    </row>
    <row r="291" spans="4:5">
      <c r="D291" s="5"/>
      <c r="E291" s="5"/>
    </row>
    <row r="292" spans="4:5">
      <c r="D292" s="5"/>
      <c r="E292" s="5"/>
    </row>
    <row r="293" spans="4:5">
      <c r="D293" s="5"/>
      <c r="E293" s="5"/>
    </row>
    <row r="294" spans="4:5">
      <c r="D294" s="5"/>
      <c r="E294" s="5"/>
    </row>
    <row r="295" spans="4:5">
      <c r="D295" s="5"/>
      <c r="E295" s="5"/>
    </row>
    <row r="296" spans="4:5">
      <c r="D296" s="5"/>
      <c r="E296" s="5"/>
    </row>
    <row r="297" spans="4:5">
      <c r="D297" s="5"/>
      <c r="E297" s="5"/>
    </row>
    <row r="298" spans="4:5">
      <c r="D298" s="5"/>
      <c r="E298" s="5"/>
    </row>
    <row r="299" spans="4:5">
      <c r="D299" s="5"/>
      <c r="E299" s="5"/>
    </row>
    <row r="300" spans="4:5">
      <c r="D300" s="5"/>
      <c r="E300" s="5"/>
    </row>
    <row r="301" spans="4:5">
      <c r="D301" s="5"/>
      <c r="E301" s="5"/>
    </row>
    <row r="302" spans="4:5">
      <c r="D302" s="5"/>
      <c r="E302" s="5"/>
    </row>
    <row r="303" spans="4:5">
      <c r="D303" s="5"/>
      <c r="E303" s="5"/>
    </row>
    <row r="304" spans="4:5">
      <c r="D304" s="5"/>
      <c r="E304" s="5"/>
    </row>
    <row r="305" spans="4:5">
      <c r="D305" s="5"/>
      <c r="E305" s="5"/>
    </row>
    <row r="306" spans="4:5">
      <c r="D306" s="5"/>
      <c r="E306" s="5"/>
    </row>
    <row r="307" spans="4:5">
      <c r="D307" s="5"/>
      <c r="E307" s="5"/>
    </row>
    <row r="308" spans="4:5">
      <c r="D308" s="5"/>
      <c r="E308" s="5"/>
    </row>
    <row r="309" spans="4:5">
      <c r="D309" s="5"/>
      <c r="E309" s="5"/>
    </row>
    <row r="310" spans="4:5">
      <c r="D310" s="5"/>
      <c r="E310" s="5"/>
    </row>
    <row r="311" spans="4:5">
      <c r="D311" s="5"/>
      <c r="E311" s="5"/>
    </row>
    <row r="312" spans="4:5">
      <c r="D312" s="5"/>
      <c r="E312" s="5"/>
    </row>
    <row r="313" spans="4:5">
      <c r="D313" s="5"/>
      <c r="E313" s="5"/>
    </row>
    <row r="314" spans="4:5">
      <c r="D314" s="5"/>
      <c r="E314" s="5"/>
    </row>
    <row r="315" spans="4:5">
      <c r="D315" s="5"/>
      <c r="E315" s="5"/>
    </row>
    <row r="316" spans="4:5">
      <c r="D316" s="5"/>
      <c r="E316" s="5"/>
    </row>
    <row r="317" spans="4:5">
      <c r="D317" s="5"/>
      <c r="E317" s="5"/>
    </row>
    <row r="318" spans="4:5">
      <c r="D318" s="5"/>
      <c r="E318" s="5"/>
    </row>
    <row r="319" spans="4:5">
      <c r="D319" s="5"/>
      <c r="E319" s="5"/>
    </row>
    <row r="320" spans="4:5">
      <c r="D320" s="5"/>
      <c r="E320" s="5"/>
    </row>
    <row r="321" spans="4:5">
      <c r="D321" s="5"/>
      <c r="E321" s="5"/>
    </row>
    <row r="322" spans="4:5">
      <c r="D322" s="5"/>
      <c r="E322" s="5"/>
    </row>
    <row r="323" spans="4:5">
      <c r="D323" s="5"/>
      <c r="E323" s="5"/>
    </row>
    <row r="324" spans="4:5">
      <c r="D324" s="5"/>
      <c r="E324" s="5"/>
    </row>
    <row r="325" spans="4:5">
      <c r="D325" s="5"/>
      <c r="E325" s="5"/>
    </row>
    <row r="326" spans="4:5">
      <c r="D326" s="5"/>
      <c r="E326" s="5"/>
    </row>
    <row r="327" spans="4:5">
      <c r="D327" s="5"/>
      <c r="E327" s="5"/>
    </row>
    <row r="328" spans="4:5">
      <c r="D328" s="5"/>
      <c r="E328" s="5"/>
    </row>
    <row r="329" spans="4:5">
      <c r="D329" s="5"/>
      <c r="E329" s="5"/>
    </row>
    <row r="330" spans="4:5">
      <c r="D330" s="5"/>
      <c r="E330" s="5"/>
    </row>
    <row r="331" spans="4:5">
      <c r="D331" s="5"/>
      <c r="E331" s="5"/>
    </row>
    <row r="332" spans="4:5">
      <c r="D332" s="5"/>
      <c r="E332" s="5"/>
    </row>
    <row r="333" spans="4:5">
      <c r="D333" s="5"/>
      <c r="E333" s="5"/>
    </row>
    <row r="334" spans="4:5">
      <c r="D334" s="5"/>
      <c r="E334" s="5"/>
    </row>
    <row r="335" spans="4:5">
      <c r="D335" s="5"/>
      <c r="E335" s="5"/>
    </row>
    <row r="336" spans="4:5">
      <c r="D336" s="5"/>
      <c r="E336" s="5"/>
    </row>
    <row r="337" spans="4:5">
      <c r="D337" s="5"/>
      <c r="E337" s="5"/>
    </row>
    <row r="338" spans="4:5">
      <c r="D338" s="5"/>
      <c r="E338" s="5"/>
    </row>
    <row r="339" spans="4:5">
      <c r="D339" s="5"/>
      <c r="E339" s="5"/>
    </row>
    <row r="340" spans="4:5">
      <c r="D340" s="5"/>
      <c r="E340" s="5"/>
    </row>
    <row r="341" spans="4:5">
      <c r="D341" s="5"/>
      <c r="E341" s="5"/>
    </row>
    <row r="342" spans="4:5">
      <c r="D342" s="5"/>
      <c r="E342" s="5"/>
    </row>
    <row r="343" spans="4:5">
      <c r="D343" s="5"/>
      <c r="E343" s="5"/>
    </row>
    <row r="344" spans="4:5">
      <c r="D344" s="5"/>
      <c r="E344" s="5"/>
    </row>
    <row r="345" spans="4:5">
      <c r="D345" s="5"/>
      <c r="E345" s="5"/>
    </row>
    <row r="346" spans="4:5">
      <c r="D346" s="5"/>
      <c r="E346" s="5"/>
    </row>
    <row r="347" spans="4:5">
      <c r="D347" s="5"/>
      <c r="E347" s="5"/>
    </row>
    <row r="348" spans="4:5">
      <c r="D348" s="5"/>
      <c r="E348" s="5"/>
    </row>
    <row r="349" spans="4:5">
      <c r="D349" s="5"/>
      <c r="E349" s="5"/>
    </row>
    <row r="350" spans="4:5">
      <c r="D350" s="5"/>
      <c r="E350" s="5"/>
    </row>
    <row r="351" spans="4:5">
      <c r="D351" s="5"/>
      <c r="E351" s="5"/>
    </row>
    <row r="352" spans="4:5">
      <c r="D352" s="5"/>
      <c r="E352" s="5"/>
    </row>
    <row r="353" spans="4:5">
      <c r="D353" s="5"/>
      <c r="E353" s="5"/>
    </row>
    <row r="354" spans="4:5">
      <c r="D354" s="5"/>
      <c r="E354" s="5"/>
    </row>
    <row r="355" spans="4:5">
      <c r="D355" s="5"/>
      <c r="E355" s="5"/>
    </row>
    <row r="356" spans="4:5">
      <c r="D356" s="5"/>
      <c r="E356" s="5"/>
    </row>
    <row r="357" spans="4:5">
      <c r="D357" s="5"/>
      <c r="E357" s="5"/>
    </row>
    <row r="358" spans="4:5">
      <c r="D358" s="5"/>
      <c r="E358" s="5"/>
    </row>
    <row r="359" spans="4:5">
      <c r="D359" s="5"/>
      <c r="E359" s="5"/>
    </row>
    <row r="360" spans="4:5">
      <c r="D360" s="5"/>
      <c r="E360" s="5"/>
    </row>
    <row r="361" spans="4:5">
      <c r="D361" s="5"/>
      <c r="E361" s="5"/>
    </row>
    <row r="362" spans="4:5">
      <c r="D362" s="5"/>
      <c r="E362" s="5"/>
    </row>
    <row r="363" spans="4:5">
      <c r="D363" s="5"/>
      <c r="E363" s="5"/>
    </row>
    <row r="364" spans="4:5">
      <c r="D364" s="5"/>
      <c r="E364" s="5"/>
    </row>
    <row r="365" spans="4:5">
      <c r="D365" s="5"/>
      <c r="E365" s="5"/>
    </row>
    <row r="366" spans="4:5">
      <c r="D366" s="5"/>
      <c r="E366" s="5"/>
    </row>
    <row r="367" spans="4:5">
      <c r="D367" s="5"/>
      <c r="E367" s="5"/>
    </row>
    <row r="368" spans="4:5">
      <c r="D368" s="5"/>
      <c r="E368" s="5"/>
    </row>
    <row r="369" spans="4:5">
      <c r="D369" s="5"/>
      <c r="E369" s="5"/>
    </row>
    <row r="370" spans="4:5">
      <c r="D370" s="5"/>
      <c r="E370" s="5"/>
    </row>
    <row r="371" spans="4:5">
      <c r="D371" s="5"/>
      <c r="E371" s="5"/>
    </row>
    <row r="372" spans="4:5">
      <c r="D372" s="5"/>
      <c r="E372" s="5"/>
    </row>
    <row r="373" spans="4:5">
      <c r="D373" s="5"/>
      <c r="E373" s="5"/>
    </row>
    <row r="374" spans="4:5">
      <c r="D374" s="5"/>
      <c r="E374" s="5"/>
    </row>
    <row r="375" spans="4:5">
      <c r="D375" s="5"/>
      <c r="E375" s="5"/>
    </row>
    <row r="376" spans="4:5">
      <c r="D376" s="5"/>
      <c r="E376" s="5"/>
    </row>
    <row r="377" spans="4:5">
      <c r="D377" s="5"/>
      <c r="E377" s="5"/>
    </row>
    <row r="378" spans="4:5">
      <c r="D378" s="5"/>
      <c r="E378" s="5"/>
    </row>
    <row r="379" spans="4:5">
      <c r="D379" s="5"/>
      <c r="E379" s="5"/>
    </row>
    <row r="380" spans="4:5">
      <c r="D380" s="5"/>
      <c r="E380" s="5"/>
    </row>
    <row r="381" spans="4:5">
      <c r="D381" s="5"/>
      <c r="E381" s="5"/>
    </row>
    <row r="382" spans="4:5">
      <c r="D382" s="5"/>
      <c r="E382" s="5"/>
    </row>
    <row r="383" spans="4:5">
      <c r="D383" s="5"/>
      <c r="E383" s="5"/>
    </row>
    <row r="384" spans="4:5">
      <c r="D384" s="5"/>
      <c r="E384" s="5"/>
    </row>
  </sheetData>
  <mergeCells count="4">
    <mergeCell ref="A4:G4"/>
    <mergeCell ref="A5:G5"/>
    <mergeCell ref="A6:G6"/>
    <mergeCell ref="A7:G7"/>
  </mergeCells>
  <phoneticPr fontId="5" type="noConversion"/>
  <pageMargins left="0.75" right="0.75" top="1" bottom="1" header="0.5" footer="0.5"/>
  <pageSetup scale="86"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24"/>
  <sheetViews>
    <sheetView zoomScaleNormal="100" workbookViewId="0">
      <selection activeCell="K22" sqref="K22"/>
    </sheetView>
  </sheetViews>
  <sheetFormatPr defaultRowHeight="15"/>
  <cols>
    <col min="1" max="1" width="5.42578125" style="657" customWidth="1"/>
    <col min="2" max="2" width="2.7109375" style="657" customWidth="1"/>
    <col min="3" max="3" width="54.42578125" style="657" customWidth="1"/>
    <col min="4" max="4" width="2.7109375" style="657" customWidth="1"/>
    <col min="5" max="5" width="16.7109375" style="657" customWidth="1"/>
    <col min="6" max="6" width="2.7109375" style="657" customWidth="1"/>
    <col min="7" max="7" width="16.7109375" style="657" customWidth="1"/>
    <col min="8" max="8" width="2.5703125" style="657" customWidth="1"/>
    <col min="9" max="9" width="16.7109375" style="657" customWidth="1"/>
    <col min="10" max="10" width="2.7109375" style="657" customWidth="1"/>
    <col min="11" max="11" width="16.7109375" style="657" customWidth="1"/>
    <col min="12" max="12" width="2.7109375" style="657" customWidth="1"/>
    <col min="13" max="13" width="16.7109375" style="657" customWidth="1"/>
    <col min="14" max="14" width="2.7109375" style="657" customWidth="1"/>
    <col min="15" max="15" width="16.7109375" style="657" customWidth="1"/>
    <col min="16" max="16384" width="9.140625" style="657"/>
  </cols>
  <sheetData>
    <row r="1" spans="1:15">
      <c r="O1" s="658" t="s">
        <v>756</v>
      </c>
    </row>
    <row r="2" spans="1:15">
      <c r="O2" s="658" t="s">
        <v>888</v>
      </c>
    </row>
    <row r="3" spans="1:15">
      <c r="A3" s="942" t="s">
        <v>658</v>
      </c>
      <c r="B3" s="942"/>
      <c r="C3" s="942"/>
      <c r="D3" s="942"/>
      <c r="E3" s="942"/>
      <c r="F3" s="942"/>
      <c r="G3" s="942"/>
      <c r="H3" s="942"/>
      <c r="I3" s="942"/>
      <c r="J3" s="942"/>
      <c r="K3" s="942"/>
      <c r="L3" s="942"/>
      <c r="M3" s="942"/>
      <c r="N3" s="942"/>
      <c r="O3" s="942"/>
    </row>
    <row r="4" spans="1:15">
      <c r="A4" s="942" t="s">
        <v>889</v>
      </c>
      <c r="B4" s="942"/>
      <c r="C4" s="942"/>
      <c r="D4" s="942"/>
      <c r="E4" s="942"/>
      <c r="F4" s="942"/>
      <c r="G4" s="942"/>
      <c r="H4" s="942"/>
      <c r="I4" s="942"/>
      <c r="J4" s="942"/>
      <c r="K4" s="942"/>
      <c r="L4" s="942"/>
      <c r="M4" s="942"/>
      <c r="N4" s="942"/>
      <c r="O4" s="942"/>
    </row>
    <row r="5" spans="1:15">
      <c r="A5" s="942" t="s">
        <v>757</v>
      </c>
      <c r="B5" s="942"/>
      <c r="C5" s="942"/>
      <c r="D5" s="942"/>
      <c r="E5" s="942"/>
      <c r="F5" s="942"/>
      <c r="G5" s="942"/>
      <c r="H5" s="942"/>
      <c r="I5" s="942"/>
      <c r="J5" s="942"/>
      <c r="K5" s="942"/>
      <c r="L5" s="942"/>
      <c r="M5" s="942"/>
      <c r="N5" s="942"/>
      <c r="O5" s="942"/>
    </row>
    <row r="7" spans="1:15" ht="30">
      <c r="A7" s="659" t="s">
        <v>854</v>
      </c>
      <c r="C7" s="659" t="s">
        <v>890</v>
      </c>
      <c r="E7" s="659" t="s">
        <v>891</v>
      </c>
      <c r="G7" s="659" t="s">
        <v>892</v>
      </c>
      <c r="I7" s="659" t="s">
        <v>893</v>
      </c>
      <c r="K7" s="660" t="s">
        <v>894</v>
      </c>
      <c r="M7" s="659" t="s">
        <v>895</v>
      </c>
      <c r="O7" s="659" t="s">
        <v>896</v>
      </c>
    </row>
    <row r="8" spans="1:15" s="661" customFormat="1">
      <c r="C8" s="661" t="s">
        <v>361</v>
      </c>
      <c r="E8" s="661" t="s">
        <v>362</v>
      </c>
      <c r="G8" s="661" t="s">
        <v>366</v>
      </c>
      <c r="I8" s="661" t="s">
        <v>363</v>
      </c>
      <c r="K8" s="872" t="s">
        <v>364</v>
      </c>
      <c r="M8" s="661" t="s">
        <v>379</v>
      </c>
      <c r="O8" s="661" t="s">
        <v>380</v>
      </c>
    </row>
    <row r="10" spans="1:15">
      <c r="A10" s="661">
        <v>1</v>
      </c>
      <c r="C10" s="657" t="s">
        <v>897</v>
      </c>
      <c r="E10" s="662">
        <f>'G-1 '!Q39+'G-1 '!Q87+'G-1 '!Q135+'G-1 '!Q173+'G-1 '!Q210+'G-1 '!Q247+'G-1 '!Q283+'G-1 '!Q319+'G-1 '!Q355+'G-1 '!Q391+'G-1 '!Q435+'G-1 '!Q482</f>
        <v>24785398.000000004</v>
      </c>
      <c r="F10" s="662"/>
      <c r="G10" s="662">
        <v>0</v>
      </c>
      <c r="H10" s="662"/>
      <c r="I10" s="662">
        <f>E10+G10</f>
        <v>24785398.000000004</v>
      </c>
      <c r="J10" s="662"/>
      <c r="K10" s="663">
        <f>'G-1 '!AA498</f>
        <v>53460.579199999993</v>
      </c>
      <c r="L10" s="662"/>
      <c r="M10" s="664">
        <f>'G-1 '!K39+'G-1 '!K87+'G-1 '!K135+'G-1 '!K173+'G-1 '!K210+'G-1 '!K247+'G-1 '!K283+'G-1 '!K319+'G-1 '!K355+'G-1 '!K391+'G-1 '!K435+'G-1 '!K482</f>
        <v>2469280</v>
      </c>
      <c r="N10" s="662"/>
      <c r="O10" s="664">
        <f>'G-1 '!M39+'G-1 '!M87+'G-1 '!M135+'G-1 '!M173+'G-1 '!M210+'G-1 '!M247+'G-1 '!M283+'G-1 '!M319+'G-1 '!M355+'G-1 '!M391+'G-1 '!M435+'G-1 '!M482</f>
        <v>38186128</v>
      </c>
    </row>
    <row r="11" spans="1:15">
      <c r="A11" s="661">
        <v>2</v>
      </c>
      <c r="C11" s="657" t="s">
        <v>898</v>
      </c>
      <c r="E11" s="662">
        <f>'G-1 '!Q49+'G-1 '!Q97+'G-1 '!Q145+'G-1 '!Q183+'G-1 '!Q220+'G-1 '!Q256+'G-1 '!Q292+'G-1 '!Q328+'G-1 '!Q364+'G-1 '!Q399+'G-1 '!Q443+'G-1 '!Q490</f>
        <v>2487292.5</v>
      </c>
      <c r="G11" s="665">
        <v>0</v>
      </c>
      <c r="I11" s="662">
        <f t="shared" ref="I11:I12" si="0">E11+G11</f>
        <v>2487292.5</v>
      </c>
      <c r="K11" s="663">
        <f>'G-1 '!AA499</f>
        <v>4203.8878000000004</v>
      </c>
      <c r="M11" s="664">
        <f>'G-1 '!K49+'G-1 '!K97+'G-1 '!K145+'G-1 '!K183+'G-1 '!K220+'G-1 '!K256+'G-1 '!K292+'G-1 '!K328+'G-1 '!K364+'G-1 '!K399+'G-1 '!K443+'G-1 '!K490</f>
        <v>247800</v>
      </c>
      <c r="O11" s="664">
        <f>'G-1 '!M49+'G-1 '!M97+'G-1 '!M145+'G-1 '!M183+'G-1 '!M220+'G-1 '!M256+'G-1 '!M292+'G-1 '!M328+'G-1 '!M364+'G-1 '!M399+'G-1 '!M443+'G-1 '!M490</f>
        <v>3002777</v>
      </c>
    </row>
    <row r="12" spans="1:15">
      <c r="A12" s="661">
        <v>3</v>
      </c>
      <c r="C12" s="657" t="s">
        <v>899</v>
      </c>
      <c r="E12" s="665">
        <v>0</v>
      </c>
      <c r="G12" s="662">
        <f>'G-1 '!U54+'G-1 '!U102+'G-1 '!U149+'G-1 '!U186+'G-1 '!U223+'G-1 '!U259+'G-1 '!U295+'G-1 '!U331+'G-1 '!U367+'G-1 '!U402+'G-1 '!U449+'G-1 '!U496</f>
        <v>213857.49000000002</v>
      </c>
      <c r="I12" s="662">
        <f t="shared" si="0"/>
        <v>213857.49000000002</v>
      </c>
      <c r="K12" s="663">
        <f>'G-1 '!AA500</f>
        <v>907.27420000000006</v>
      </c>
      <c r="M12" s="666">
        <v>0</v>
      </c>
      <c r="O12" s="664">
        <f>'G-1 '!M54+'G-1 '!M102+'G-1 '!M149+'G-1 '!M186+'G-1 '!M223+'G-1 '!M259+'G-1 '!M295+'G-1 '!M331+'G-1 '!M367+'G-1 '!M402+'G-1 '!M449+'G-1 '!M496</f>
        <v>648053</v>
      </c>
    </row>
    <row r="13" spans="1:15" ht="15.75" thickBot="1">
      <c r="A13" s="661">
        <v>4</v>
      </c>
      <c r="C13" s="667" t="s">
        <v>900</v>
      </c>
      <c r="D13" s="667"/>
      <c r="E13" s="668">
        <f>SUM(E10:E12)</f>
        <v>27272690.500000004</v>
      </c>
      <c r="F13" s="667"/>
      <c r="G13" s="668">
        <f>SUM(G10:G12)</f>
        <v>213857.49000000002</v>
      </c>
      <c r="H13" s="667"/>
      <c r="I13" s="668">
        <f>SUM(I10:I12)</f>
        <v>27486547.990000002</v>
      </c>
      <c r="J13" s="667"/>
      <c r="K13" s="668">
        <f>SUM(K10:K12)</f>
        <v>58571.741199999989</v>
      </c>
      <c r="L13" s="667"/>
      <c r="M13" s="669">
        <f>SUM(M10:M12)</f>
        <v>2717080</v>
      </c>
      <c r="N13" s="667"/>
      <c r="O13" s="669">
        <f>SUM(O10:O12)</f>
        <v>41836958</v>
      </c>
    </row>
    <row r="14" spans="1:15" ht="15.75" thickTop="1"/>
    <row r="24" spans="13:13">
      <c r="M24" s="670"/>
    </row>
  </sheetData>
  <mergeCells count="3">
    <mergeCell ref="A3:O3"/>
    <mergeCell ref="A4:O4"/>
    <mergeCell ref="A5:O5"/>
  </mergeCells>
  <pageMargins left="0.7" right="0.7" top="0.75" bottom="0.75" header="0.3" footer="0.3"/>
  <pageSetup scale="6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I690"/>
  <sheetViews>
    <sheetView view="pageLayout" topLeftCell="L1" zoomScaleNormal="100" workbookViewId="0">
      <selection activeCell="AC4" sqref="AC4"/>
    </sheetView>
  </sheetViews>
  <sheetFormatPr defaultRowHeight="15"/>
  <cols>
    <col min="1" max="1" width="5.85546875" style="673" customWidth="1"/>
    <col min="2" max="2" width="2.7109375" style="672" customWidth="1"/>
    <col min="3" max="3" width="73.140625" style="672" bestFit="1" customWidth="1"/>
    <col min="4" max="4" width="2.85546875" style="672" customWidth="1"/>
    <col min="5" max="5" width="9.7109375" style="673" customWidth="1"/>
    <col min="6" max="6" width="2.7109375" style="673" customWidth="1"/>
    <col min="7" max="7" width="12" style="673" customWidth="1"/>
    <col min="8" max="8" width="2.7109375" style="672" customWidth="1"/>
    <col min="9" max="9" width="11.42578125" style="673" customWidth="1"/>
    <col min="10" max="10" width="2.7109375" style="672" customWidth="1"/>
    <col min="11" max="11" width="14.28515625" style="676" bestFit="1" customWidth="1"/>
    <col min="12" max="12" width="2.7109375" style="672" customWidth="1"/>
    <col min="13" max="13" width="14.28515625" style="715" bestFit="1" customWidth="1"/>
    <col min="14" max="14" width="2.7109375" style="672" customWidth="1"/>
    <col min="15" max="15" width="12.5703125" style="672" customWidth="1"/>
    <col min="16" max="16" width="2.7109375" style="672" customWidth="1"/>
    <col min="17" max="17" width="15.28515625" style="672" bestFit="1" customWidth="1"/>
    <col min="18" max="18" width="2.7109375" style="672" customWidth="1"/>
    <col min="19" max="19" width="10.140625" style="672" customWidth="1"/>
    <col min="20" max="20" width="2.7109375" style="672" customWidth="1"/>
    <col min="21" max="21" width="15.42578125" style="672" bestFit="1" customWidth="1"/>
    <col min="22" max="22" width="2.5703125" style="672" customWidth="1"/>
    <col min="23" max="23" width="15.42578125" style="672" bestFit="1" customWidth="1"/>
    <col min="24" max="24" width="2.7109375" style="672" customWidth="1"/>
    <col min="25" max="25" width="10.85546875" style="672" customWidth="1"/>
    <col min="26" max="26" width="2.7109375" style="672" customWidth="1"/>
    <col min="27" max="27" width="11" style="672" customWidth="1"/>
    <col min="28" max="28" width="2.7109375" style="672" customWidth="1"/>
    <col min="29" max="29" width="13.85546875" style="672" customWidth="1"/>
    <col min="30" max="30" width="2.7109375" style="672" customWidth="1"/>
    <col min="31" max="31" width="14.28515625" style="672" bestFit="1" customWidth="1"/>
    <col min="32" max="32" width="11.5703125" style="672" bestFit="1" customWidth="1"/>
    <col min="33" max="16384" width="9.140625" style="672"/>
  </cols>
  <sheetData>
    <row r="1" spans="1:29">
      <c r="A1" s="943"/>
      <c r="B1" s="943"/>
      <c r="C1" s="943"/>
      <c r="D1" s="943"/>
      <c r="E1" s="943"/>
      <c r="F1" s="943"/>
      <c r="G1" s="943"/>
      <c r="H1" s="943"/>
      <c r="I1" s="943"/>
      <c r="J1" s="943"/>
      <c r="K1" s="943"/>
      <c r="L1" s="943"/>
      <c r="M1" s="943"/>
      <c r="N1" s="943"/>
      <c r="O1" s="943"/>
      <c r="P1" s="943"/>
      <c r="Q1" s="943"/>
      <c r="R1" s="943"/>
      <c r="S1" s="943"/>
      <c r="T1" s="943"/>
      <c r="U1" s="943"/>
      <c r="V1" s="943"/>
      <c r="W1" s="943"/>
      <c r="X1" s="943"/>
      <c r="Y1" s="943"/>
      <c r="Z1" s="943"/>
      <c r="AA1" s="943"/>
      <c r="AB1" s="943"/>
      <c r="AC1" s="943"/>
    </row>
    <row r="2" spans="1:29">
      <c r="A2" s="943"/>
      <c r="B2" s="943"/>
      <c r="C2" s="943"/>
      <c r="D2" s="943"/>
      <c r="E2" s="943"/>
      <c r="F2" s="943"/>
      <c r="G2" s="943"/>
      <c r="H2" s="943"/>
      <c r="I2" s="943"/>
      <c r="J2" s="943"/>
      <c r="K2" s="943"/>
      <c r="L2" s="943"/>
      <c r="M2" s="943"/>
      <c r="N2" s="943"/>
      <c r="O2" s="943"/>
      <c r="P2" s="943"/>
      <c r="Q2" s="943"/>
      <c r="R2" s="943"/>
      <c r="S2" s="943"/>
      <c r="T2" s="943"/>
      <c r="U2" s="943"/>
      <c r="V2" s="943"/>
      <c r="W2" s="943"/>
      <c r="X2" s="943"/>
      <c r="Y2" s="943"/>
      <c r="Z2" s="943"/>
      <c r="AA2" s="943"/>
      <c r="AB2" s="943"/>
      <c r="AC2" s="943"/>
    </row>
    <row r="3" spans="1:29">
      <c r="A3" s="943"/>
      <c r="B3" s="943"/>
      <c r="C3" s="943"/>
      <c r="D3" s="943"/>
      <c r="E3" s="943"/>
      <c r="F3" s="943"/>
      <c r="G3" s="943"/>
      <c r="H3" s="943"/>
      <c r="I3" s="943"/>
      <c r="J3" s="943"/>
      <c r="K3" s="943"/>
      <c r="L3" s="943"/>
      <c r="M3" s="943"/>
      <c r="N3" s="943"/>
      <c r="O3" s="943"/>
      <c r="P3" s="943"/>
      <c r="Q3" s="943"/>
      <c r="R3" s="943"/>
      <c r="S3" s="943"/>
      <c r="T3" s="943"/>
      <c r="U3" s="943"/>
      <c r="V3" s="943"/>
      <c r="W3" s="943"/>
      <c r="X3" s="943"/>
      <c r="Y3" s="943"/>
      <c r="Z3" s="943"/>
      <c r="AA3" s="943"/>
      <c r="AB3" s="943"/>
      <c r="AC3" s="943"/>
    </row>
    <row r="5" spans="1:29" ht="45">
      <c r="A5" s="671" t="s">
        <v>901</v>
      </c>
      <c r="C5" s="671" t="s">
        <v>902</v>
      </c>
      <c r="E5" s="671" t="s">
        <v>903</v>
      </c>
      <c r="G5" s="671" t="s">
        <v>873</v>
      </c>
      <c r="I5" s="671" t="s">
        <v>904</v>
      </c>
      <c r="K5" s="674" t="s">
        <v>895</v>
      </c>
      <c r="M5" s="674" t="s">
        <v>905</v>
      </c>
      <c r="O5" s="671" t="s">
        <v>906</v>
      </c>
      <c r="Q5" s="671" t="s">
        <v>891</v>
      </c>
      <c r="S5" s="671" t="s">
        <v>907</v>
      </c>
      <c r="U5" s="671" t="s">
        <v>892</v>
      </c>
      <c r="W5" s="671" t="s">
        <v>893</v>
      </c>
      <c r="Y5" s="675" t="s">
        <v>908</v>
      </c>
      <c r="AA5" s="671" t="s">
        <v>894</v>
      </c>
      <c r="AC5" s="671" t="s">
        <v>909</v>
      </c>
    </row>
    <row r="6" spans="1:29" s="673" customFormat="1">
      <c r="C6" s="673" t="s">
        <v>361</v>
      </c>
      <c r="E6" s="673" t="s">
        <v>362</v>
      </c>
      <c r="G6" s="673" t="s">
        <v>366</v>
      </c>
      <c r="I6" s="673" t="s">
        <v>363</v>
      </c>
      <c r="K6" s="676" t="s">
        <v>364</v>
      </c>
      <c r="M6" s="676" t="s">
        <v>379</v>
      </c>
      <c r="O6" s="673" t="s">
        <v>380</v>
      </c>
      <c r="Q6" s="673" t="s">
        <v>403</v>
      </c>
      <c r="S6" s="673" t="s">
        <v>404</v>
      </c>
      <c r="U6" s="673" t="s">
        <v>351</v>
      </c>
      <c r="W6" s="673" t="s">
        <v>250</v>
      </c>
      <c r="Y6" s="673" t="s">
        <v>254</v>
      </c>
      <c r="AA6" s="673" t="s">
        <v>313</v>
      </c>
      <c r="AC6" s="673" t="s">
        <v>314</v>
      </c>
    </row>
    <row r="8" spans="1:29">
      <c r="C8" s="677" t="s">
        <v>910</v>
      </c>
      <c r="D8" s="677"/>
      <c r="E8" s="678"/>
      <c r="F8" s="678"/>
      <c r="G8" s="678"/>
      <c r="H8" s="677"/>
      <c r="I8" s="678"/>
      <c r="J8" s="677"/>
      <c r="K8" s="679"/>
      <c r="L8" s="677"/>
      <c r="M8" s="680"/>
      <c r="N8" s="677"/>
      <c r="O8" s="677"/>
      <c r="P8" s="677"/>
      <c r="Q8" s="677"/>
      <c r="R8" s="677"/>
      <c r="S8" s="677"/>
      <c r="T8" s="677"/>
      <c r="U8" s="677"/>
      <c r="V8" s="677"/>
      <c r="W8" s="677"/>
      <c r="X8" s="677"/>
      <c r="Y8" s="677"/>
      <c r="Z8" s="677"/>
      <c r="AA8" s="677"/>
      <c r="AB8" s="677"/>
      <c r="AC8" s="677"/>
    </row>
    <row r="9" spans="1:29" s="682" customFormat="1">
      <c r="A9" s="681"/>
      <c r="C9" s="683" t="s">
        <v>876</v>
      </c>
      <c r="D9" s="684"/>
      <c r="E9" s="685"/>
      <c r="F9" s="685"/>
      <c r="G9" s="685"/>
      <c r="H9" s="684"/>
      <c r="I9" s="685"/>
      <c r="J9" s="684"/>
      <c r="K9" s="686"/>
      <c r="L9" s="684"/>
      <c r="M9" s="687"/>
      <c r="N9" s="684"/>
      <c r="O9" s="684"/>
      <c r="P9" s="684"/>
      <c r="Q9" s="684"/>
      <c r="R9" s="684"/>
      <c r="S9" s="684"/>
      <c r="T9" s="684"/>
      <c r="U9" s="684"/>
      <c r="V9" s="684"/>
      <c r="W9" s="684"/>
      <c r="X9" s="684"/>
      <c r="Y9" s="684"/>
      <c r="Z9" s="684"/>
      <c r="AA9" s="684"/>
      <c r="AB9" s="684"/>
      <c r="AC9" s="684"/>
    </row>
    <row r="10" spans="1:29">
      <c r="A10" s="673">
        <v>1</v>
      </c>
      <c r="C10" s="688" t="s">
        <v>911</v>
      </c>
      <c r="D10" s="689"/>
      <c r="E10" s="690" t="s">
        <v>912</v>
      </c>
      <c r="F10" s="690"/>
      <c r="G10" s="690" t="s">
        <v>913</v>
      </c>
      <c r="H10" s="689"/>
      <c r="I10" s="691" t="s">
        <v>914</v>
      </c>
      <c r="J10" s="689"/>
      <c r="K10" s="692">
        <v>105750</v>
      </c>
      <c r="L10" s="693"/>
      <c r="M10" s="694">
        <v>1738143</v>
      </c>
      <c r="N10" s="689"/>
      <c r="O10" s="695">
        <v>10.0375</v>
      </c>
      <c r="P10" s="689"/>
      <c r="Q10" s="696">
        <f>K10*O10</f>
        <v>1061465.625</v>
      </c>
      <c r="R10" s="689"/>
      <c r="S10" s="697">
        <v>0</v>
      </c>
      <c r="T10" s="689"/>
      <c r="U10" s="698">
        <f>S10*M10</f>
        <v>0</v>
      </c>
      <c r="V10" s="689"/>
      <c r="W10" s="696">
        <f>U10+Q10</f>
        <v>1061465.625</v>
      </c>
      <c r="Y10" s="699">
        <v>1.4E-3</v>
      </c>
      <c r="AA10" s="663">
        <f>Y10*M10</f>
        <v>2433.4002</v>
      </c>
      <c r="AC10" s="673" t="s">
        <v>912</v>
      </c>
    </row>
    <row r="11" spans="1:29">
      <c r="A11" s="673">
        <v>2</v>
      </c>
      <c r="C11" s="688" t="s">
        <v>915</v>
      </c>
      <c r="D11" s="689"/>
      <c r="E11" s="690" t="s">
        <v>912</v>
      </c>
      <c r="F11" s="690"/>
      <c r="G11" s="690" t="s">
        <v>913</v>
      </c>
      <c r="H11" s="689"/>
      <c r="I11" s="691" t="s">
        <v>916</v>
      </c>
      <c r="J11" s="689"/>
      <c r="K11" s="692">
        <v>200</v>
      </c>
      <c r="L11" s="693"/>
      <c r="M11" s="694">
        <v>2010</v>
      </c>
      <c r="N11" s="689"/>
      <c r="O11" s="695">
        <v>10.0375</v>
      </c>
      <c r="P11" s="689"/>
      <c r="Q11" s="696">
        <f t="shared" ref="Q11:Q38" si="0">K11*O11</f>
        <v>2007.5</v>
      </c>
      <c r="R11" s="689"/>
      <c r="S11" s="697">
        <v>0</v>
      </c>
      <c r="T11" s="689"/>
      <c r="U11" s="698">
        <f t="shared" ref="U11:U38" si="1">S11*M11</f>
        <v>0</v>
      </c>
      <c r="V11" s="689"/>
      <c r="W11" s="696">
        <f t="shared" ref="W11:W38" si="2">U11+Q11</f>
        <v>2007.5</v>
      </c>
      <c r="Y11" s="699">
        <v>1.4E-3</v>
      </c>
      <c r="AA11" s="663">
        <f t="shared" ref="AA11:AA38" si="3">Y11*M11</f>
        <v>2.8140000000000001</v>
      </c>
      <c r="AC11" s="673" t="s">
        <v>912</v>
      </c>
    </row>
    <row r="12" spans="1:29">
      <c r="A12" s="673">
        <v>3</v>
      </c>
      <c r="C12" s="688" t="s">
        <v>917</v>
      </c>
      <c r="D12" s="689"/>
      <c r="E12" s="690" t="s">
        <v>912</v>
      </c>
      <c r="F12" s="690"/>
      <c r="G12" s="690" t="s">
        <v>913</v>
      </c>
      <c r="H12" s="689"/>
      <c r="I12" s="691" t="s">
        <v>918</v>
      </c>
      <c r="J12" s="689"/>
      <c r="K12" s="692">
        <v>1200</v>
      </c>
      <c r="L12" s="693"/>
      <c r="M12" s="694">
        <v>21793</v>
      </c>
      <c r="N12" s="689"/>
      <c r="O12" s="695">
        <v>10.0375</v>
      </c>
      <c r="P12" s="689"/>
      <c r="Q12" s="696">
        <f t="shared" si="0"/>
        <v>12045</v>
      </c>
      <c r="R12" s="689"/>
      <c r="S12" s="697">
        <v>0</v>
      </c>
      <c r="T12" s="689"/>
      <c r="U12" s="698">
        <f t="shared" si="1"/>
        <v>0</v>
      </c>
      <c r="V12" s="689"/>
      <c r="W12" s="696">
        <f t="shared" si="2"/>
        <v>12045</v>
      </c>
      <c r="Y12" s="699">
        <v>1.4E-3</v>
      </c>
      <c r="AA12" s="663">
        <f t="shared" si="3"/>
        <v>30.510200000000001</v>
      </c>
      <c r="AC12" s="673" t="s">
        <v>912</v>
      </c>
    </row>
    <row r="13" spans="1:29">
      <c r="A13" s="673">
        <v>4</v>
      </c>
      <c r="C13" s="688" t="s">
        <v>919</v>
      </c>
      <c r="D13" s="689"/>
      <c r="E13" s="690" t="s">
        <v>912</v>
      </c>
      <c r="F13" s="690"/>
      <c r="G13" s="690" t="s">
        <v>913</v>
      </c>
      <c r="H13" s="689"/>
      <c r="I13" s="691" t="s">
        <v>920</v>
      </c>
      <c r="J13" s="689"/>
      <c r="K13" s="692">
        <v>1550</v>
      </c>
      <c r="L13" s="693"/>
      <c r="M13" s="694">
        <v>0</v>
      </c>
      <c r="N13" s="689"/>
      <c r="O13" s="695">
        <v>10.0375</v>
      </c>
      <c r="P13" s="689"/>
      <c r="Q13" s="696">
        <f t="shared" si="0"/>
        <v>15558.125</v>
      </c>
      <c r="R13" s="689"/>
      <c r="S13" s="697">
        <v>0</v>
      </c>
      <c r="T13" s="689"/>
      <c r="U13" s="698">
        <f t="shared" si="1"/>
        <v>0</v>
      </c>
      <c r="V13" s="689"/>
      <c r="W13" s="696">
        <f t="shared" si="2"/>
        <v>15558.125</v>
      </c>
      <c r="Y13" s="699">
        <v>1.4E-3</v>
      </c>
      <c r="AA13" s="663">
        <f t="shared" si="3"/>
        <v>0</v>
      </c>
      <c r="AC13" s="673" t="s">
        <v>912</v>
      </c>
    </row>
    <row r="14" spans="1:29">
      <c r="A14" s="673">
        <v>5</v>
      </c>
      <c r="C14" s="688" t="s">
        <v>911</v>
      </c>
      <c r="D14" s="689"/>
      <c r="E14" s="690" t="s">
        <v>912</v>
      </c>
      <c r="F14" s="690"/>
      <c r="G14" s="690" t="s">
        <v>913</v>
      </c>
      <c r="H14" s="689"/>
      <c r="I14" s="691" t="s">
        <v>921</v>
      </c>
      <c r="J14" s="689"/>
      <c r="K14" s="692">
        <v>10000</v>
      </c>
      <c r="L14" s="693"/>
      <c r="M14" s="694">
        <v>310000</v>
      </c>
      <c r="N14" s="689"/>
      <c r="O14" s="695">
        <v>10.0375</v>
      </c>
      <c r="P14" s="689"/>
      <c r="Q14" s="696">
        <f t="shared" si="0"/>
        <v>100375</v>
      </c>
      <c r="R14" s="689"/>
      <c r="S14" s="697">
        <v>0</v>
      </c>
      <c r="T14" s="689"/>
      <c r="U14" s="698">
        <f t="shared" si="1"/>
        <v>0</v>
      </c>
      <c r="V14" s="689"/>
      <c r="W14" s="696">
        <f t="shared" si="2"/>
        <v>100375</v>
      </c>
      <c r="Y14" s="699">
        <v>1.4E-3</v>
      </c>
      <c r="AA14" s="663">
        <f t="shared" si="3"/>
        <v>434</v>
      </c>
      <c r="AC14" s="673" t="s">
        <v>912</v>
      </c>
    </row>
    <row r="15" spans="1:29">
      <c r="A15" s="673">
        <v>6</v>
      </c>
      <c r="C15" s="688" t="s">
        <v>922</v>
      </c>
      <c r="D15" s="689"/>
      <c r="E15" s="690" t="s">
        <v>912</v>
      </c>
      <c r="F15" s="690"/>
      <c r="G15" s="690" t="s">
        <v>913</v>
      </c>
      <c r="H15" s="689"/>
      <c r="I15" s="691" t="s">
        <v>923</v>
      </c>
      <c r="J15" s="689"/>
      <c r="K15" s="692">
        <v>200</v>
      </c>
      <c r="L15" s="693"/>
      <c r="M15" s="694">
        <v>4200</v>
      </c>
      <c r="N15" s="689"/>
      <c r="O15" s="695">
        <v>10.0375</v>
      </c>
      <c r="P15" s="689"/>
      <c r="Q15" s="696">
        <f t="shared" si="0"/>
        <v>2007.5</v>
      </c>
      <c r="R15" s="689"/>
      <c r="S15" s="697">
        <v>0</v>
      </c>
      <c r="T15" s="689"/>
      <c r="U15" s="698">
        <f t="shared" si="1"/>
        <v>0</v>
      </c>
      <c r="V15" s="689"/>
      <c r="W15" s="696">
        <f t="shared" si="2"/>
        <v>2007.5</v>
      </c>
      <c r="Y15" s="699">
        <v>1.4E-3</v>
      </c>
      <c r="AA15" s="663">
        <f t="shared" si="3"/>
        <v>5.88</v>
      </c>
      <c r="AC15" s="673" t="s">
        <v>912</v>
      </c>
    </row>
    <row r="16" spans="1:29">
      <c r="A16" s="673">
        <v>7</v>
      </c>
      <c r="C16" s="688" t="s">
        <v>924</v>
      </c>
      <c r="D16" s="689"/>
      <c r="E16" s="690" t="s">
        <v>912</v>
      </c>
      <c r="F16" s="690"/>
      <c r="G16" s="690" t="s">
        <v>913</v>
      </c>
      <c r="H16" s="689"/>
      <c r="I16" s="691" t="s">
        <v>925</v>
      </c>
      <c r="J16" s="689"/>
      <c r="K16" s="692">
        <v>550</v>
      </c>
      <c r="L16" s="693"/>
      <c r="M16" s="694">
        <v>17050</v>
      </c>
      <c r="N16" s="689"/>
      <c r="O16" s="695">
        <v>10.0375</v>
      </c>
      <c r="P16" s="689"/>
      <c r="Q16" s="696">
        <f t="shared" si="0"/>
        <v>5520.625</v>
      </c>
      <c r="R16" s="689"/>
      <c r="S16" s="697">
        <v>0</v>
      </c>
      <c r="T16" s="689"/>
      <c r="U16" s="698">
        <f t="shared" si="1"/>
        <v>0</v>
      </c>
      <c r="V16" s="689"/>
      <c r="W16" s="696">
        <f t="shared" si="2"/>
        <v>5520.625</v>
      </c>
      <c r="Y16" s="699">
        <v>1.4E-3</v>
      </c>
      <c r="AA16" s="663">
        <f t="shared" si="3"/>
        <v>23.87</v>
      </c>
      <c r="AC16" s="673" t="s">
        <v>912</v>
      </c>
    </row>
    <row r="17" spans="1:29">
      <c r="A17" s="673">
        <v>8</v>
      </c>
      <c r="C17" s="688" t="s">
        <v>911</v>
      </c>
      <c r="D17" s="689"/>
      <c r="E17" s="690" t="s">
        <v>912</v>
      </c>
      <c r="F17" s="690"/>
      <c r="G17" s="690" t="s">
        <v>913</v>
      </c>
      <c r="H17" s="689"/>
      <c r="I17" s="691" t="s">
        <v>926</v>
      </c>
      <c r="J17" s="689"/>
      <c r="K17" s="692">
        <v>5661</v>
      </c>
      <c r="L17" s="693"/>
      <c r="M17" s="694">
        <v>175491</v>
      </c>
      <c r="N17" s="689"/>
      <c r="O17" s="695">
        <v>10.0375</v>
      </c>
      <c r="P17" s="689"/>
      <c r="Q17" s="696">
        <f t="shared" si="0"/>
        <v>56822.287499999999</v>
      </c>
      <c r="R17" s="689"/>
      <c r="S17" s="697">
        <v>0</v>
      </c>
      <c r="T17" s="689"/>
      <c r="U17" s="698">
        <f t="shared" si="1"/>
        <v>0</v>
      </c>
      <c r="V17" s="689"/>
      <c r="W17" s="696">
        <f t="shared" si="2"/>
        <v>56822.287499999999</v>
      </c>
      <c r="Y17" s="699">
        <v>1.4E-3</v>
      </c>
      <c r="AA17" s="663">
        <f t="shared" si="3"/>
        <v>245.6874</v>
      </c>
      <c r="AC17" s="673" t="s">
        <v>912</v>
      </c>
    </row>
    <row r="18" spans="1:29">
      <c r="A18" s="673">
        <v>9</v>
      </c>
      <c r="C18" s="688" t="s">
        <v>911</v>
      </c>
      <c r="D18" s="689"/>
      <c r="E18" s="690" t="s">
        <v>912</v>
      </c>
      <c r="F18" s="690"/>
      <c r="G18" s="690" t="s">
        <v>913</v>
      </c>
      <c r="H18" s="689"/>
      <c r="I18" s="691" t="s">
        <v>927</v>
      </c>
      <c r="J18" s="689"/>
      <c r="K18" s="692">
        <v>5690</v>
      </c>
      <c r="L18" s="693"/>
      <c r="M18" s="694">
        <v>176390</v>
      </c>
      <c r="N18" s="689"/>
      <c r="O18" s="695">
        <v>10.0375</v>
      </c>
      <c r="P18" s="689"/>
      <c r="Q18" s="696">
        <f t="shared" si="0"/>
        <v>57113.375</v>
      </c>
      <c r="R18" s="689"/>
      <c r="S18" s="697">
        <v>0</v>
      </c>
      <c r="T18" s="689"/>
      <c r="U18" s="698">
        <f t="shared" si="1"/>
        <v>0</v>
      </c>
      <c r="V18" s="689"/>
      <c r="W18" s="696">
        <f t="shared" si="2"/>
        <v>57113.375</v>
      </c>
      <c r="Y18" s="699">
        <v>1.4E-3</v>
      </c>
      <c r="AA18" s="663">
        <f t="shared" si="3"/>
        <v>246.946</v>
      </c>
      <c r="AC18" s="673" t="s">
        <v>912</v>
      </c>
    </row>
    <row r="19" spans="1:29">
      <c r="A19" s="673">
        <v>10</v>
      </c>
      <c r="C19" s="688" t="s">
        <v>928</v>
      </c>
      <c r="D19" s="689"/>
      <c r="E19" s="690" t="s">
        <v>912</v>
      </c>
      <c r="F19" s="690"/>
      <c r="G19" s="690" t="s">
        <v>913</v>
      </c>
      <c r="H19" s="689"/>
      <c r="I19" s="691" t="s">
        <v>929</v>
      </c>
      <c r="J19" s="689"/>
      <c r="K19" s="692">
        <v>8000</v>
      </c>
      <c r="L19" s="693"/>
      <c r="M19" s="694">
        <v>234601</v>
      </c>
      <c r="N19" s="689"/>
      <c r="O19" s="695">
        <v>10.0375</v>
      </c>
      <c r="P19" s="689"/>
      <c r="Q19" s="696">
        <f t="shared" si="0"/>
        <v>80300</v>
      </c>
      <c r="R19" s="689"/>
      <c r="S19" s="697">
        <v>0</v>
      </c>
      <c r="T19" s="689"/>
      <c r="U19" s="698">
        <f t="shared" si="1"/>
        <v>0</v>
      </c>
      <c r="V19" s="689"/>
      <c r="W19" s="696">
        <f t="shared" si="2"/>
        <v>80300</v>
      </c>
      <c r="Y19" s="699">
        <v>1.4E-3</v>
      </c>
      <c r="AA19" s="663">
        <f t="shared" si="3"/>
        <v>328.44139999999999</v>
      </c>
      <c r="AC19" s="673" t="s">
        <v>912</v>
      </c>
    </row>
    <row r="20" spans="1:29">
      <c r="A20" s="673">
        <v>11</v>
      </c>
      <c r="C20" s="688" t="s">
        <v>928</v>
      </c>
      <c r="D20" s="689"/>
      <c r="E20" s="690" t="s">
        <v>912</v>
      </c>
      <c r="F20" s="690"/>
      <c r="G20" s="690" t="s">
        <v>913</v>
      </c>
      <c r="H20" s="689"/>
      <c r="I20" s="691" t="s">
        <v>930</v>
      </c>
      <c r="J20" s="689"/>
      <c r="K20" s="692">
        <v>16500</v>
      </c>
      <c r="L20" s="693"/>
      <c r="M20" s="694">
        <v>193057</v>
      </c>
      <c r="N20" s="689"/>
      <c r="O20" s="695">
        <v>10.0375</v>
      </c>
      <c r="P20" s="689"/>
      <c r="Q20" s="696">
        <f t="shared" si="0"/>
        <v>165618.75</v>
      </c>
      <c r="R20" s="689"/>
      <c r="S20" s="697">
        <v>0</v>
      </c>
      <c r="T20" s="689"/>
      <c r="U20" s="698">
        <f t="shared" si="1"/>
        <v>0</v>
      </c>
      <c r="V20" s="689"/>
      <c r="W20" s="696">
        <f t="shared" si="2"/>
        <v>165618.75</v>
      </c>
      <c r="Y20" s="699">
        <v>1.4E-3</v>
      </c>
      <c r="AA20" s="663">
        <f t="shared" si="3"/>
        <v>270.27980000000002</v>
      </c>
      <c r="AC20" s="673" t="s">
        <v>912</v>
      </c>
    </row>
    <row r="21" spans="1:29">
      <c r="A21" s="673">
        <v>12</v>
      </c>
      <c r="C21" s="688" t="s">
        <v>911</v>
      </c>
      <c r="D21" s="689"/>
      <c r="E21" s="690" t="s">
        <v>912</v>
      </c>
      <c r="F21" s="690"/>
      <c r="G21" s="690" t="s">
        <v>913</v>
      </c>
      <c r="H21" s="689"/>
      <c r="I21" s="691" t="s">
        <v>931</v>
      </c>
      <c r="J21" s="689"/>
      <c r="K21" s="692">
        <v>5722</v>
      </c>
      <c r="L21" s="693"/>
      <c r="M21" s="694">
        <v>177382</v>
      </c>
      <c r="N21" s="689"/>
      <c r="O21" s="695">
        <v>10.0375</v>
      </c>
      <c r="P21" s="689"/>
      <c r="Q21" s="696">
        <f t="shared" si="0"/>
        <v>57434.574999999997</v>
      </c>
      <c r="R21" s="689"/>
      <c r="S21" s="697">
        <v>0</v>
      </c>
      <c r="T21" s="689"/>
      <c r="U21" s="698">
        <f t="shared" si="1"/>
        <v>0</v>
      </c>
      <c r="V21" s="689"/>
      <c r="W21" s="696">
        <f t="shared" si="2"/>
        <v>57434.574999999997</v>
      </c>
      <c r="Y21" s="699">
        <v>1.4E-3</v>
      </c>
      <c r="AA21" s="663">
        <f t="shared" si="3"/>
        <v>248.3348</v>
      </c>
      <c r="AC21" s="673" t="s">
        <v>912</v>
      </c>
    </row>
    <row r="22" spans="1:29">
      <c r="A22" s="673">
        <v>13</v>
      </c>
      <c r="C22" s="688" t="s">
        <v>932</v>
      </c>
      <c r="D22" s="689"/>
      <c r="E22" s="690" t="s">
        <v>912</v>
      </c>
      <c r="F22" s="690"/>
      <c r="G22" s="690" t="s">
        <v>913</v>
      </c>
      <c r="H22" s="689"/>
      <c r="I22" s="691" t="s">
        <v>933</v>
      </c>
      <c r="J22" s="689"/>
      <c r="K22" s="692">
        <v>760</v>
      </c>
      <c r="L22" s="693"/>
      <c r="M22" s="694">
        <v>23526</v>
      </c>
      <c r="N22" s="689"/>
      <c r="O22" s="695">
        <v>10.0375</v>
      </c>
      <c r="P22" s="689"/>
      <c r="Q22" s="696">
        <f t="shared" si="0"/>
        <v>7628.5</v>
      </c>
      <c r="R22" s="689"/>
      <c r="S22" s="697">
        <v>0</v>
      </c>
      <c r="T22" s="689"/>
      <c r="U22" s="698">
        <f t="shared" si="1"/>
        <v>0</v>
      </c>
      <c r="V22" s="689"/>
      <c r="W22" s="696">
        <f t="shared" si="2"/>
        <v>7628.5</v>
      </c>
      <c r="Y22" s="699">
        <v>1.4E-3</v>
      </c>
      <c r="AA22" s="663">
        <f t="shared" si="3"/>
        <v>32.936399999999999</v>
      </c>
      <c r="AC22" s="673" t="s">
        <v>912</v>
      </c>
    </row>
    <row r="23" spans="1:29">
      <c r="A23" s="673">
        <v>14</v>
      </c>
      <c r="C23" s="688" t="s">
        <v>922</v>
      </c>
      <c r="D23" s="689"/>
      <c r="E23" s="690" t="s">
        <v>912</v>
      </c>
      <c r="F23" s="690"/>
      <c r="G23" s="690" t="s">
        <v>913</v>
      </c>
      <c r="H23" s="689"/>
      <c r="I23" s="691" t="s">
        <v>934</v>
      </c>
      <c r="J23" s="689"/>
      <c r="K23" s="692">
        <v>150</v>
      </c>
      <c r="L23" s="693"/>
      <c r="M23" s="694">
        <v>3150</v>
      </c>
      <c r="N23" s="689"/>
      <c r="O23" s="695">
        <v>10.0375</v>
      </c>
      <c r="P23" s="689"/>
      <c r="Q23" s="696">
        <f t="shared" si="0"/>
        <v>1505.625</v>
      </c>
      <c r="R23" s="689"/>
      <c r="S23" s="697">
        <v>0</v>
      </c>
      <c r="T23" s="689"/>
      <c r="U23" s="698">
        <f t="shared" si="1"/>
        <v>0</v>
      </c>
      <c r="V23" s="689"/>
      <c r="W23" s="696">
        <f t="shared" si="2"/>
        <v>1505.625</v>
      </c>
      <c r="Y23" s="699">
        <v>1.4E-3</v>
      </c>
      <c r="AA23" s="663">
        <f t="shared" si="3"/>
        <v>4.41</v>
      </c>
      <c r="AC23" s="673" t="s">
        <v>912</v>
      </c>
    </row>
    <row r="24" spans="1:29">
      <c r="A24" s="673">
        <v>15</v>
      </c>
      <c r="C24" s="688" t="s">
        <v>922</v>
      </c>
      <c r="D24" s="689"/>
      <c r="E24" s="690" t="s">
        <v>912</v>
      </c>
      <c r="F24" s="690"/>
      <c r="G24" s="690" t="s">
        <v>913</v>
      </c>
      <c r="H24" s="689"/>
      <c r="I24" s="691" t="s">
        <v>935</v>
      </c>
      <c r="J24" s="689"/>
      <c r="K24" s="692">
        <v>250</v>
      </c>
      <c r="L24" s="693"/>
      <c r="M24" s="694">
        <v>5250</v>
      </c>
      <c r="N24" s="689"/>
      <c r="O24" s="695">
        <v>10.0375</v>
      </c>
      <c r="P24" s="689"/>
      <c r="Q24" s="696">
        <f t="shared" si="0"/>
        <v>2509.375</v>
      </c>
      <c r="R24" s="689"/>
      <c r="S24" s="697">
        <v>0</v>
      </c>
      <c r="T24" s="689"/>
      <c r="U24" s="698">
        <f t="shared" si="1"/>
        <v>0</v>
      </c>
      <c r="V24" s="689"/>
      <c r="W24" s="696">
        <f t="shared" si="2"/>
        <v>2509.375</v>
      </c>
      <c r="Y24" s="699">
        <v>1.4E-3</v>
      </c>
      <c r="AA24" s="663">
        <f t="shared" si="3"/>
        <v>7.35</v>
      </c>
      <c r="AC24" s="673" t="s">
        <v>912</v>
      </c>
    </row>
    <row r="25" spans="1:29">
      <c r="A25" s="673">
        <v>16</v>
      </c>
      <c r="C25" s="688" t="s">
        <v>922</v>
      </c>
      <c r="D25" s="689"/>
      <c r="E25" s="690" t="s">
        <v>912</v>
      </c>
      <c r="F25" s="690"/>
      <c r="G25" s="690" t="s">
        <v>913</v>
      </c>
      <c r="H25" s="689"/>
      <c r="I25" s="691" t="s">
        <v>936</v>
      </c>
      <c r="J25" s="689"/>
      <c r="K25" s="692">
        <v>400</v>
      </c>
      <c r="L25" s="693"/>
      <c r="M25" s="694">
        <v>8400</v>
      </c>
      <c r="N25" s="689"/>
      <c r="O25" s="695">
        <v>10.0375</v>
      </c>
      <c r="P25" s="689"/>
      <c r="Q25" s="696">
        <f t="shared" si="0"/>
        <v>4015</v>
      </c>
      <c r="R25" s="689"/>
      <c r="S25" s="697">
        <v>0</v>
      </c>
      <c r="T25" s="689"/>
      <c r="U25" s="698">
        <f t="shared" si="1"/>
        <v>0</v>
      </c>
      <c r="V25" s="689"/>
      <c r="W25" s="696">
        <f t="shared" si="2"/>
        <v>4015</v>
      </c>
      <c r="Y25" s="699">
        <v>1.4E-3</v>
      </c>
      <c r="AA25" s="663">
        <f t="shared" si="3"/>
        <v>11.76</v>
      </c>
      <c r="AC25" s="673" t="s">
        <v>912</v>
      </c>
    </row>
    <row r="26" spans="1:29">
      <c r="A26" s="673">
        <v>17</v>
      </c>
      <c r="C26" s="688" t="s">
        <v>911</v>
      </c>
      <c r="D26" s="689"/>
      <c r="E26" s="690" t="s">
        <v>912</v>
      </c>
      <c r="F26" s="690"/>
      <c r="G26" s="690" t="s">
        <v>913</v>
      </c>
      <c r="H26" s="689"/>
      <c r="I26" s="691" t="s">
        <v>937</v>
      </c>
      <c r="J26" s="689"/>
      <c r="K26" s="692">
        <v>40000</v>
      </c>
      <c r="L26" s="693"/>
      <c r="M26" s="694">
        <v>1240000</v>
      </c>
      <c r="N26" s="689"/>
      <c r="O26" s="695">
        <v>10.0375</v>
      </c>
      <c r="P26" s="689"/>
      <c r="Q26" s="696">
        <f t="shared" si="0"/>
        <v>401500</v>
      </c>
      <c r="R26" s="689"/>
      <c r="S26" s="697">
        <v>0</v>
      </c>
      <c r="T26" s="689"/>
      <c r="U26" s="698">
        <f t="shared" si="1"/>
        <v>0</v>
      </c>
      <c r="V26" s="689"/>
      <c r="W26" s="696">
        <f t="shared" si="2"/>
        <v>401500</v>
      </c>
      <c r="Y26" s="699">
        <v>1.4E-3</v>
      </c>
      <c r="AA26" s="663">
        <f t="shared" si="3"/>
        <v>1736</v>
      </c>
      <c r="AC26" s="673" t="s">
        <v>912</v>
      </c>
    </row>
    <row r="27" spans="1:29">
      <c r="A27" s="673">
        <v>18</v>
      </c>
      <c r="C27" s="688" t="s">
        <v>938</v>
      </c>
      <c r="D27" s="689"/>
      <c r="E27" s="690" t="s">
        <v>912</v>
      </c>
      <c r="F27" s="690"/>
      <c r="G27" s="690" t="s">
        <v>913</v>
      </c>
      <c r="H27" s="689"/>
      <c r="I27" s="691" t="s">
        <v>939</v>
      </c>
      <c r="J27" s="689"/>
      <c r="K27" s="692">
        <v>800</v>
      </c>
      <c r="L27" s="693"/>
      <c r="M27" s="694">
        <v>24800</v>
      </c>
      <c r="N27" s="689"/>
      <c r="O27" s="695">
        <v>10.0375</v>
      </c>
      <c r="P27" s="689"/>
      <c r="Q27" s="696">
        <f t="shared" si="0"/>
        <v>8030</v>
      </c>
      <c r="R27" s="689"/>
      <c r="S27" s="697">
        <v>0</v>
      </c>
      <c r="T27" s="689"/>
      <c r="U27" s="698">
        <f t="shared" si="1"/>
        <v>0</v>
      </c>
      <c r="V27" s="689"/>
      <c r="W27" s="696">
        <f t="shared" si="2"/>
        <v>8030</v>
      </c>
      <c r="Y27" s="699">
        <v>1.4E-3</v>
      </c>
      <c r="AA27" s="663">
        <f t="shared" si="3"/>
        <v>34.72</v>
      </c>
      <c r="AC27" s="673" t="s">
        <v>912</v>
      </c>
    </row>
    <row r="28" spans="1:29">
      <c r="A28" s="673">
        <v>19</v>
      </c>
      <c r="C28" s="688" t="s">
        <v>938</v>
      </c>
      <c r="D28" s="689"/>
      <c r="E28" s="690" t="s">
        <v>912</v>
      </c>
      <c r="F28" s="690"/>
      <c r="G28" s="690" t="s">
        <v>913</v>
      </c>
      <c r="H28" s="689"/>
      <c r="I28" s="691" t="s">
        <v>940</v>
      </c>
      <c r="J28" s="689"/>
      <c r="K28" s="692">
        <v>200</v>
      </c>
      <c r="L28" s="693"/>
      <c r="M28" s="694">
        <v>6200</v>
      </c>
      <c r="N28" s="689"/>
      <c r="O28" s="695">
        <v>10.0375</v>
      </c>
      <c r="P28" s="689"/>
      <c r="Q28" s="696">
        <f t="shared" si="0"/>
        <v>2007.5</v>
      </c>
      <c r="R28" s="689"/>
      <c r="S28" s="697">
        <v>0</v>
      </c>
      <c r="T28" s="689"/>
      <c r="U28" s="698">
        <f t="shared" si="1"/>
        <v>0</v>
      </c>
      <c r="V28" s="689"/>
      <c r="W28" s="696">
        <f t="shared" si="2"/>
        <v>2007.5</v>
      </c>
      <c r="Y28" s="699">
        <v>1.4E-3</v>
      </c>
      <c r="AA28" s="663">
        <f t="shared" si="3"/>
        <v>8.68</v>
      </c>
      <c r="AC28" s="673" t="s">
        <v>912</v>
      </c>
    </row>
    <row r="29" spans="1:29">
      <c r="A29" s="673">
        <v>20</v>
      </c>
      <c r="C29" s="688" t="s">
        <v>938</v>
      </c>
      <c r="D29" s="689"/>
      <c r="E29" s="690" t="s">
        <v>912</v>
      </c>
      <c r="F29" s="690"/>
      <c r="G29" s="690" t="s">
        <v>913</v>
      </c>
      <c r="H29" s="689"/>
      <c r="I29" s="691" t="s">
        <v>941</v>
      </c>
      <c r="J29" s="689"/>
      <c r="K29" s="692">
        <v>400</v>
      </c>
      <c r="L29" s="693"/>
      <c r="M29" s="694">
        <v>12400</v>
      </c>
      <c r="N29" s="689"/>
      <c r="O29" s="695">
        <v>10.0375</v>
      </c>
      <c r="P29" s="689"/>
      <c r="Q29" s="696">
        <f t="shared" si="0"/>
        <v>4015</v>
      </c>
      <c r="R29" s="689"/>
      <c r="S29" s="697">
        <v>0</v>
      </c>
      <c r="T29" s="689"/>
      <c r="U29" s="698">
        <f t="shared" si="1"/>
        <v>0</v>
      </c>
      <c r="V29" s="689"/>
      <c r="W29" s="696">
        <f t="shared" si="2"/>
        <v>4015</v>
      </c>
      <c r="Y29" s="699">
        <v>1.4E-3</v>
      </c>
      <c r="AA29" s="663">
        <f t="shared" si="3"/>
        <v>17.36</v>
      </c>
      <c r="AC29" s="673" t="s">
        <v>912</v>
      </c>
    </row>
    <row r="30" spans="1:29">
      <c r="A30" s="673">
        <v>21</v>
      </c>
      <c r="C30" s="688" t="s">
        <v>942</v>
      </c>
      <c r="D30" s="689"/>
      <c r="E30" s="690" t="s">
        <v>912</v>
      </c>
      <c r="F30" s="690"/>
      <c r="G30" s="690" t="s">
        <v>913</v>
      </c>
      <c r="H30" s="689"/>
      <c r="I30" s="691" t="s">
        <v>943</v>
      </c>
      <c r="J30" s="689"/>
      <c r="K30" s="692">
        <v>606</v>
      </c>
      <c r="L30" s="693"/>
      <c r="M30" s="694">
        <v>17847</v>
      </c>
      <c r="N30" s="689"/>
      <c r="O30" s="695">
        <v>10.0375</v>
      </c>
      <c r="P30" s="689"/>
      <c r="Q30" s="696">
        <f t="shared" si="0"/>
        <v>6082.7249999999995</v>
      </c>
      <c r="R30" s="689"/>
      <c r="S30" s="697">
        <v>0</v>
      </c>
      <c r="T30" s="689"/>
      <c r="U30" s="698">
        <f t="shared" si="1"/>
        <v>0</v>
      </c>
      <c r="V30" s="689"/>
      <c r="W30" s="696">
        <f t="shared" si="2"/>
        <v>6082.7249999999995</v>
      </c>
      <c r="Y30" s="699">
        <v>1.4E-3</v>
      </c>
      <c r="AA30" s="663">
        <f t="shared" si="3"/>
        <v>24.985800000000001</v>
      </c>
      <c r="AC30" s="673" t="s">
        <v>912</v>
      </c>
    </row>
    <row r="31" spans="1:29">
      <c r="A31" s="673">
        <v>22</v>
      </c>
      <c r="C31" s="688" t="s">
        <v>944</v>
      </c>
      <c r="D31" s="689"/>
      <c r="E31" s="690" t="s">
        <v>912</v>
      </c>
      <c r="F31" s="690"/>
      <c r="G31" s="690" t="s">
        <v>913</v>
      </c>
      <c r="H31" s="689"/>
      <c r="I31" s="691" t="s">
        <v>945</v>
      </c>
      <c r="J31" s="689"/>
      <c r="K31" s="692">
        <v>819</v>
      </c>
      <c r="L31" s="693"/>
      <c r="M31" s="694">
        <v>20328</v>
      </c>
      <c r="N31" s="689"/>
      <c r="O31" s="695">
        <v>10.0375</v>
      </c>
      <c r="P31" s="689"/>
      <c r="Q31" s="696">
        <f t="shared" si="0"/>
        <v>8220.7124999999996</v>
      </c>
      <c r="R31" s="689"/>
      <c r="S31" s="697">
        <v>0</v>
      </c>
      <c r="T31" s="689"/>
      <c r="U31" s="698">
        <f t="shared" si="1"/>
        <v>0</v>
      </c>
      <c r="V31" s="689"/>
      <c r="W31" s="696">
        <f t="shared" si="2"/>
        <v>8220.7124999999996</v>
      </c>
      <c r="Y31" s="699">
        <v>1.4E-3</v>
      </c>
      <c r="AA31" s="663">
        <f t="shared" si="3"/>
        <v>28.459199999999999</v>
      </c>
      <c r="AC31" s="673" t="s">
        <v>912</v>
      </c>
    </row>
    <row r="32" spans="1:29">
      <c r="A32" s="673">
        <v>23</v>
      </c>
      <c r="C32" s="688" t="s">
        <v>946</v>
      </c>
      <c r="D32" s="689"/>
      <c r="E32" s="690" t="s">
        <v>912</v>
      </c>
      <c r="F32" s="690"/>
      <c r="G32" s="690" t="s">
        <v>913</v>
      </c>
      <c r="H32" s="689"/>
      <c r="I32" s="691" t="s">
        <v>947</v>
      </c>
      <c r="J32" s="689"/>
      <c r="K32" s="692">
        <v>426</v>
      </c>
      <c r="L32" s="693"/>
      <c r="M32" s="694">
        <v>12166</v>
      </c>
      <c r="N32" s="689"/>
      <c r="O32" s="695">
        <v>10.0375</v>
      </c>
      <c r="P32" s="689"/>
      <c r="Q32" s="696">
        <f t="shared" si="0"/>
        <v>4275.9749999999995</v>
      </c>
      <c r="R32" s="689"/>
      <c r="S32" s="697">
        <v>0</v>
      </c>
      <c r="T32" s="689"/>
      <c r="U32" s="698">
        <f t="shared" si="1"/>
        <v>0</v>
      </c>
      <c r="V32" s="689"/>
      <c r="W32" s="696">
        <f t="shared" si="2"/>
        <v>4275.9749999999995</v>
      </c>
      <c r="Y32" s="699">
        <v>1.4E-3</v>
      </c>
      <c r="AA32" s="663">
        <f t="shared" si="3"/>
        <v>17.032399999999999</v>
      </c>
      <c r="AC32" s="673" t="s">
        <v>912</v>
      </c>
    </row>
    <row r="33" spans="1:31">
      <c r="A33" s="673">
        <v>24</v>
      </c>
      <c r="C33" s="688" t="s">
        <v>948</v>
      </c>
      <c r="D33" s="689"/>
      <c r="E33" s="690" t="s">
        <v>912</v>
      </c>
      <c r="F33" s="690"/>
      <c r="G33" s="690" t="s">
        <v>913</v>
      </c>
      <c r="H33" s="689"/>
      <c r="I33" s="691" t="s">
        <v>949</v>
      </c>
      <c r="J33" s="689"/>
      <c r="K33" s="692">
        <v>132</v>
      </c>
      <c r="L33" s="693"/>
      <c r="M33" s="694">
        <v>4092</v>
      </c>
      <c r="N33" s="689"/>
      <c r="O33" s="695">
        <v>10.0375</v>
      </c>
      <c r="P33" s="689"/>
      <c r="Q33" s="696">
        <f t="shared" si="0"/>
        <v>1324.95</v>
      </c>
      <c r="R33" s="689"/>
      <c r="S33" s="697">
        <v>0</v>
      </c>
      <c r="T33" s="689"/>
      <c r="U33" s="698">
        <f t="shared" si="1"/>
        <v>0</v>
      </c>
      <c r="V33" s="689"/>
      <c r="W33" s="696">
        <f t="shared" si="2"/>
        <v>1324.95</v>
      </c>
      <c r="Y33" s="699">
        <v>1.4E-3</v>
      </c>
      <c r="AA33" s="663">
        <f t="shared" si="3"/>
        <v>5.7287999999999997</v>
      </c>
      <c r="AC33" s="673" t="s">
        <v>912</v>
      </c>
    </row>
    <row r="34" spans="1:31">
      <c r="A34" s="673">
        <v>25</v>
      </c>
      <c r="C34" s="688" t="s">
        <v>950</v>
      </c>
      <c r="D34" s="689"/>
      <c r="E34" s="690" t="s">
        <v>912</v>
      </c>
      <c r="F34" s="690"/>
      <c r="G34" s="690" t="s">
        <v>913</v>
      </c>
      <c r="H34" s="689"/>
      <c r="I34" s="691" t="s">
        <v>951</v>
      </c>
      <c r="J34" s="689"/>
      <c r="K34" s="692">
        <v>413</v>
      </c>
      <c r="L34" s="693"/>
      <c r="M34" s="694">
        <v>12803</v>
      </c>
      <c r="N34" s="689"/>
      <c r="O34" s="695">
        <v>10.0375</v>
      </c>
      <c r="P34" s="689"/>
      <c r="Q34" s="696">
        <f t="shared" si="0"/>
        <v>4145.4875000000002</v>
      </c>
      <c r="R34" s="689"/>
      <c r="S34" s="697">
        <v>0</v>
      </c>
      <c r="T34" s="689"/>
      <c r="U34" s="698">
        <f t="shared" si="1"/>
        <v>0</v>
      </c>
      <c r="V34" s="689"/>
      <c r="W34" s="696">
        <f t="shared" si="2"/>
        <v>4145.4875000000002</v>
      </c>
      <c r="Y34" s="699">
        <v>1.4E-3</v>
      </c>
      <c r="AA34" s="663">
        <f t="shared" si="3"/>
        <v>17.924199999999999</v>
      </c>
      <c r="AC34" s="673" t="s">
        <v>912</v>
      </c>
    </row>
    <row r="35" spans="1:31">
      <c r="A35" s="673">
        <v>26</v>
      </c>
      <c r="C35" s="688" t="s">
        <v>952</v>
      </c>
      <c r="D35" s="689"/>
      <c r="E35" s="690" t="s">
        <v>912</v>
      </c>
      <c r="F35" s="690"/>
      <c r="G35" s="690" t="s">
        <v>913</v>
      </c>
      <c r="H35" s="689"/>
      <c r="I35" s="691" t="s">
        <v>953</v>
      </c>
      <c r="J35" s="689"/>
      <c r="K35" s="692">
        <v>772</v>
      </c>
      <c r="L35" s="693"/>
      <c r="M35" s="694">
        <v>23932</v>
      </c>
      <c r="N35" s="689"/>
      <c r="O35" s="695">
        <v>10.0375</v>
      </c>
      <c r="P35" s="689"/>
      <c r="Q35" s="696">
        <f t="shared" si="0"/>
        <v>7748.95</v>
      </c>
      <c r="R35" s="689"/>
      <c r="S35" s="697">
        <v>0</v>
      </c>
      <c r="T35" s="689"/>
      <c r="U35" s="698">
        <f t="shared" si="1"/>
        <v>0</v>
      </c>
      <c r="V35" s="689"/>
      <c r="W35" s="696">
        <f t="shared" si="2"/>
        <v>7748.95</v>
      </c>
      <c r="Y35" s="699">
        <v>1.4E-3</v>
      </c>
      <c r="AA35" s="663">
        <f t="shared" si="3"/>
        <v>33.504800000000003</v>
      </c>
      <c r="AC35" s="673" t="s">
        <v>912</v>
      </c>
    </row>
    <row r="36" spans="1:31">
      <c r="A36" s="673">
        <v>27</v>
      </c>
      <c r="C36" s="688" t="s">
        <v>954</v>
      </c>
      <c r="D36" s="689"/>
      <c r="E36" s="690" t="s">
        <v>912</v>
      </c>
      <c r="F36" s="690"/>
      <c r="G36" s="690" t="s">
        <v>913</v>
      </c>
      <c r="H36" s="689"/>
      <c r="I36" s="691" t="s">
        <v>955</v>
      </c>
      <c r="J36" s="689"/>
      <c r="K36" s="692">
        <v>595</v>
      </c>
      <c r="L36" s="693"/>
      <c r="M36" s="694">
        <v>18445</v>
      </c>
      <c r="N36" s="689"/>
      <c r="O36" s="695">
        <v>10.0375</v>
      </c>
      <c r="P36" s="689"/>
      <c r="Q36" s="696">
        <f t="shared" si="0"/>
        <v>5972.3125</v>
      </c>
      <c r="R36" s="689"/>
      <c r="S36" s="697">
        <v>0</v>
      </c>
      <c r="T36" s="689"/>
      <c r="U36" s="698">
        <f t="shared" si="1"/>
        <v>0</v>
      </c>
      <c r="V36" s="689"/>
      <c r="W36" s="696">
        <f t="shared" si="2"/>
        <v>5972.3125</v>
      </c>
      <c r="Y36" s="699">
        <v>1.4E-3</v>
      </c>
      <c r="AA36" s="663">
        <f t="shared" si="3"/>
        <v>25.823</v>
      </c>
      <c r="AC36" s="673" t="s">
        <v>912</v>
      </c>
    </row>
    <row r="37" spans="1:31">
      <c r="A37" s="673">
        <v>28</v>
      </c>
      <c r="C37" s="688" t="s">
        <v>956</v>
      </c>
      <c r="D37" s="689"/>
      <c r="E37" s="690" t="s">
        <v>912</v>
      </c>
      <c r="F37" s="690"/>
      <c r="G37" s="690" t="s">
        <v>913</v>
      </c>
      <c r="H37" s="689"/>
      <c r="I37" s="691" t="s">
        <v>957</v>
      </c>
      <c r="J37" s="689"/>
      <c r="K37" s="692">
        <v>792</v>
      </c>
      <c r="L37" s="693"/>
      <c r="M37" s="694">
        <v>23842</v>
      </c>
      <c r="N37" s="689"/>
      <c r="O37" s="695">
        <v>10.0375</v>
      </c>
      <c r="P37" s="689"/>
      <c r="Q37" s="696">
        <f t="shared" si="0"/>
        <v>7949.7</v>
      </c>
      <c r="R37" s="689"/>
      <c r="S37" s="697">
        <v>0</v>
      </c>
      <c r="T37" s="689"/>
      <c r="U37" s="698">
        <f t="shared" si="1"/>
        <v>0</v>
      </c>
      <c r="V37" s="689"/>
      <c r="W37" s="696">
        <f t="shared" si="2"/>
        <v>7949.7</v>
      </c>
      <c r="Y37" s="699">
        <v>1.4E-3</v>
      </c>
      <c r="AA37" s="663">
        <f t="shared" si="3"/>
        <v>33.378799999999998</v>
      </c>
      <c r="AC37" s="673" t="s">
        <v>912</v>
      </c>
    </row>
    <row r="38" spans="1:31">
      <c r="A38" s="673">
        <v>29</v>
      </c>
      <c r="C38" s="688" t="s">
        <v>958</v>
      </c>
      <c r="D38" s="689"/>
      <c r="E38" s="690" t="s">
        <v>912</v>
      </c>
      <c r="F38" s="690"/>
      <c r="G38" s="690" t="s">
        <v>913</v>
      </c>
      <c r="H38" s="689"/>
      <c r="I38" s="691" t="s">
        <v>959</v>
      </c>
      <c r="J38" s="689"/>
      <c r="K38" s="692">
        <v>76</v>
      </c>
      <c r="L38" s="693"/>
      <c r="M38" s="694">
        <v>2356</v>
      </c>
      <c r="N38" s="689"/>
      <c r="O38" s="695">
        <v>10.0375</v>
      </c>
      <c r="P38" s="689"/>
      <c r="Q38" s="696">
        <f t="shared" si="0"/>
        <v>762.85</v>
      </c>
      <c r="R38" s="689"/>
      <c r="S38" s="697">
        <v>0</v>
      </c>
      <c r="T38" s="689"/>
      <c r="U38" s="698">
        <f t="shared" si="1"/>
        <v>0</v>
      </c>
      <c r="V38" s="689"/>
      <c r="W38" s="696">
        <f t="shared" si="2"/>
        <v>762.85</v>
      </c>
      <c r="Y38" s="699">
        <v>1.4E-3</v>
      </c>
      <c r="AA38" s="663">
        <f t="shared" si="3"/>
        <v>3.2984</v>
      </c>
      <c r="AC38" s="673" t="s">
        <v>912</v>
      </c>
    </row>
    <row r="39" spans="1:31">
      <c r="A39" s="673">
        <v>30</v>
      </c>
      <c r="C39" s="700" t="s">
        <v>960</v>
      </c>
      <c r="K39" s="701">
        <f>SUM(K10:K38)</f>
        <v>208614</v>
      </c>
      <c r="M39" s="702">
        <f>SUM(M10:M38)</f>
        <v>4509654</v>
      </c>
      <c r="Q39" s="703">
        <f>SUM(Q10:Q38)</f>
        <v>2093963.0250000001</v>
      </c>
      <c r="U39" s="703">
        <f>SUM(U10:U38)</f>
        <v>0</v>
      </c>
      <c r="W39" s="703">
        <f>SUM(W10:W38)</f>
        <v>2093963.0250000001</v>
      </c>
      <c r="AA39" s="703">
        <f>SUM(AA10:AA38)</f>
        <v>6313.5156000000006</v>
      </c>
    </row>
    <row r="40" spans="1:31">
      <c r="C40" s="700" t="s">
        <v>961</v>
      </c>
      <c r="D40" s="689"/>
      <c r="E40" s="690"/>
      <c r="F40" s="690"/>
      <c r="G40" s="690"/>
      <c r="H40" s="689"/>
      <c r="I40" s="690"/>
      <c r="J40" s="689"/>
      <c r="K40" s="704"/>
      <c r="L40" s="689"/>
      <c r="M40" s="693"/>
      <c r="N40" s="689"/>
      <c r="O40" s="689"/>
      <c r="P40" s="689"/>
      <c r="Q40" s="689"/>
    </row>
    <row r="41" spans="1:31">
      <c r="A41" s="673">
        <v>31</v>
      </c>
      <c r="C41" s="688" t="s">
        <v>948</v>
      </c>
      <c r="D41" s="689"/>
      <c r="E41" s="690" t="s">
        <v>912</v>
      </c>
      <c r="F41" s="690"/>
      <c r="G41" s="690" t="s">
        <v>962</v>
      </c>
      <c r="H41" s="689"/>
      <c r="I41" s="691" t="s">
        <v>963</v>
      </c>
      <c r="J41" s="689"/>
      <c r="K41" s="692">
        <v>0</v>
      </c>
      <c r="L41" s="689"/>
      <c r="M41" s="694">
        <v>6200</v>
      </c>
      <c r="N41" s="689"/>
      <c r="O41" s="695">
        <v>10.0375</v>
      </c>
      <c r="P41" s="689"/>
      <c r="Q41" s="696">
        <f t="shared" ref="Q41:Q48" si="4">K41*O41</f>
        <v>0</v>
      </c>
      <c r="S41" s="697">
        <v>0</v>
      </c>
      <c r="U41" s="698">
        <f t="shared" ref="U41:U48" si="5">S41*M41</f>
        <v>0</v>
      </c>
      <c r="W41" s="696">
        <f t="shared" ref="W41:W48" si="6">U41+Q41</f>
        <v>0</v>
      </c>
      <c r="Y41" s="699">
        <v>1.4E-3</v>
      </c>
      <c r="AA41" s="663">
        <f t="shared" ref="AA41:AA48" si="7">Y41*M41</f>
        <v>8.68</v>
      </c>
      <c r="AC41" s="673" t="s">
        <v>912</v>
      </c>
    </row>
    <row r="42" spans="1:31">
      <c r="A42" s="673">
        <v>32</v>
      </c>
      <c r="C42" s="688" t="s">
        <v>958</v>
      </c>
      <c r="D42" s="689"/>
      <c r="E42" s="690" t="s">
        <v>912</v>
      </c>
      <c r="F42" s="690"/>
      <c r="G42" s="690" t="s">
        <v>962</v>
      </c>
      <c r="H42" s="689"/>
      <c r="I42" s="691" t="s">
        <v>964</v>
      </c>
      <c r="J42" s="689"/>
      <c r="K42" s="692">
        <v>0</v>
      </c>
      <c r="L42" s="689"/>
      <c r="M42" s="694">
        <v>9300</v>
      </c>
      <c r="N42" s="689"/>
      <c r="O42" s="695">
        <v>10.0375</v>
      </c>
      <c r="P42" s="689"/>
      <c r="Q42" s="696">
        <f t="shared" si="4"/>
        <v>0</v>
      </c>
      <c r="S42" s="697">
        <v>0</v>
      </c>
      <c r="U42" s="698">
        <f t="shared" si="5"/>
        <v>0</v>
      </c>
      <c r="W42" s="696">
        <f t="shared" si="6"/>
        <v>0</v>
      </c>
      <c r="Y42" s="699">
        <v>1.4E-3</v>
      </c>
      <c r="AA42" s="663">
        <f t="shared" si="7"/>
        <v>13.02</v>
      </c>
      <c r="AC42" s="673" t="s">
        <v>912</v>
      </c>
      <c r="AE42" s="705"/>
    </row>
    <row r="43" spans="1:31">
      <c r="A43" s="673">
        <v>33</v>
      </c>
      <c r="C43" s="688" t="s">
        <v>932</v>
      </c>
      <c r="D43" s="689"/>
      <c r="E43" s="690" t="s">
        <v>912</v>
      </c>
      <c r="F43" s="690"/>
      <c r="G43" s="690" t="s">
        <v>962</v>
      </c>
      <c r="H43" s="689"/>
      <c r="I43" s="691" t="s">
        <v>965</v>
      </c>
      <c r="J43" s="689"/>
      <c r="K43" s="692">
        <v>0</v>
      </c>
      <c r="L43" s="689"/>
      <c r="M43" s="694">
        <v>4650</v>
      </c>
      <c r="N43" s="689"/>
      <c r="O43" s="695">
        <v>10.0375</v>
      </c>
      <c r="P43" s="689"/>
      <c r="Q43" s="696">
        <f t="shared" si="4"/>
        <v>0</v>
      </c>
      <c r="S43" s="697">
        <v>0</v>
      </c>
      <c r="U43" s="698">
        <f t="shared" si="5"/>
        <v>0</v>
      </c>
      <c r="W43" s="696">
        <f t="shared" si="6"/>
        <v>0</v>
      </c>
      <c r="Y43" s="699">
        <v>1.4E-3</v>
      </c>
      <c r="AA43" s="663">
        <f t="shared" si="7"/>
        <v>6.51</v>
      </c>
      <c r="AC43" s="673" t="s">
        <v>912</v>
      </c>
    </row>
    <row r="44" spans="1:31">
      <c r="A44" s="673">
        <v>34</v>
      </c>
      <c r="C44" s="688" t="s">
        <v>966</v>
      </c>
      <c r="D44" s="689"/>
      <c r="E44" s="690" t="s">
        <v>912</v>
      </c>
      <c r="F44" s="690"/>
      <c r="G44" s="690" t="s">
        <v>962</v>
      </c>
      <c r="H44" s="689"/>
      <c r="I44" s="691" t="s">
        <v>967</v>
      </c>
      <c r="J44" s="689"/>
      <c r="K44" s="692">
        <v>0</v>
      </c>
      <c r="L44" s="689"/>
      <c r="M44" s="694">
        <v>178378</v>
      </c>
      <c r="N44" s="689"/>
      <c r="O44" s="695">
        <v>10.0375</v>
      </c>
      <c r="P44" s="689"/>
      <c r="Q44" s="696">
        <f t="shared" si="4"/>
        <v>0</v>
      </c>
      <c r="S44" s="697">
        <v>0</v>
      </c>
      <c r="U44" s="698">
        <f t="shared" si="5"/>
        <v>0</v>
      </c>
      <c r="W44" s="696">
        <f t="shared" si="6"/>
        <v>0</v>
      </c>
      <c r="Y44" s="699">
        <v>1.4E-3</v>
      </c>
      <c r="AA44" s="663">
        <f t="shared" si="7"/>
        <v>249.72919999999999</v>
      </c>
      <c r="AC44" s="673" t="s">
        <v>912</v>
      </c>
    </row>
    <row r="45" spans="1:31">
      <c r="A45" s="673">
        <v>35</v>
      </c>
      <c r="C45" s="688" t="s">
        <v>966</v>
      </c>
      <c r="D45" s="689"/>
      <c r="E45" s="690" t="s">
        <v>912</v>
      </c>
      <c r="F45" s="690"/>
      <c r="G45" s="690" t="s">
        <v>962</v>
      </c>
      <c r="H45" s="689"/>
      <c r="I45" s="691" t="s">
        <v>968</v>
      </c>
      <c r="J45" s="689"/>
      <c r="K45" s="692">
        <v>0</v>
      </c>
      <c r="L45" s="689"/>
      <c r="M45" s="694">
        <v>8040</v>
      </c>
      <c r="N45" s="689"/>
      <c r="O45" s="695">
        <v>10.0375</v>
      </c>
      <c r="P45" s="689"/>
      <c r="Q45" s="696">
        <f t="shared" si="4"/>
        <v>0</v>
      </c>
      <c r="S45" s="697">
        <v>0</v>
      </c>
      <c r="U45" s="698">
        <f t="shared" si="5"/>
        <v>0</v>
      </c>
      <c r="W45" s="696">
        <f t="shared" si="6"/>
        <v>0</v>
      </c>
      <c r="Y45" s="699">
        <v>1.4E-3</v>
      </c>
      <c r="AA45" s="663">
        <f t="shared" si="7"/>
        <v>11.256</v>
      </c>
      <c r="AC45" s="673" t="s">
        <v>912</v>
      </c>
      <c r="AE45" s="705"/>
    </row>
    <row r="46" spans="1:31">
      <c r="A46" s="673">
        <v>36</v>
      </c>
      <c r="C46" s="688" t="s">
        <v>969</v>
      </c>
      <c r="D46" s="689"/>
      <c r="E46" s="690" t="s">
        <v>912</v>
      </c>
      <c r="F46" s="690"/>
      <c r="G46" s="690" t="s">
        <v>970</v>
      </c>
      <c r="H46" s="689"/>
      <c r="I46" s="691" t="s">
        <v>971</v>
      </c>
      <c r="J46" s="689"/>
      <c r="K46" s="692">
        <v>500</v>
      </c>
      <c r="L46" s="693"/>
      <c r="M46" s="694">
        <v>0</v>
      </c>
      <c r="N46" s="689"/>
      <c r="O46" s="695">
        <v>10.0375</v>
      </c>
      <c r="P46" s="689"/>
      <c r="Q46" s="696">
        <f t="shared" si="4"/>
        <v>5018.75</v>
      </c>
      <c r="S46" s="697">
        <v>0</v>
      </c>
      <c r="U46" s="698">
        <f t="shared" si="5"/>
        <v>0</v>
      </c>
      <c r="W46" s="696">
        <f t="shared" si="6"/>
        <v>5018.75</v>
      </c>
      <c r="Y46" s="699">
        <v>1.4E-3</v>
      </c>
      <c r="AA46" s="663">
        <f t="shared" si="7"/>
        <v>0</v>
      </c>
      <c r="AC46" s="673" t="s">
        <v>912</v>
      </c>
    </row>
    <row r="47" spans="1:31">
      <c r="A47" s="673">
        <v>37</v>
      </c>
      <c r="C47" s="688" t="s">
        <v>972</v>
      </c>
      <c r="D47" s="689"/>
      <c r="E47" s="690" t="s">
        <v>912</v>
      </c>
      <c r="F47" s="690"/>
      <c r="G47" s="690" t="s">
        <v>970</v>
      </c>
      <c r="H47" s="689"/>
      <c r="I47" s="691" t="s">
        <v>973</v>
      </c>
      <c r="J47" s="689"/>
      <c r="K47" s="692">
        <v>150</v>
      </c>
      <c r="L47" s="693"/>
      <c r="M47" s="694">
        <v>0</v>
      </c>
      <c r="N47" s="689"/>
      <c r="O47" s="695">
        <v>10.0375</v>
      </c>
      <c r="P47" s="689"/>
      <c r="Q47" s="696">
        <f t="shared" si="4"/>
        <v>1505.625</v>
      </c>
      <c r="S47" s="697">
        <v>0</v>
      </c>
      <c r="U47" s="698">
        <f t="shared" si="5"/>
        <v>0</v>
      </c>
      <c r="W47" s="696">
        <f t="shared" si="6"/>
        <v>1505.625</v>
      </c>
      <c r="Y47" s="699">
        <v>1.4E-3</v>
      </c>
      <c r="AA47" s="663">
        <f t="shared" si="7"/>
        <v>0</v>
      </c>
      <c r="AC47" s="673" t="s">
        <v>912</v>
      </c>
    </row>
    <row r="48" spans="1:31">
      <c r="A48" s="673">
        <v>38</v>
      </c>
      <c r="C48" s="688" t="s">
        <v>974</v>
      </c>
      <c r="D48" s="689"/>
      <c r="E48" s="690" t="s">
        <v>912</v>
      </c>
      <c r="F48" s="690"/>
      <c r="G48" s="690" t="s">
        <v>970</v>
      </c>
      <c r="H48" s="689"/>
      <c r="I48" s="691" t="s">
        <v>975</v>
      </c>
      <c r="J48" s="689"/>
      <c r="K48" s="692">
        <v>20000</v>
      </c>
      <c r="L48" s="693"/>
      <c r="M48" s="694">
        <v>0</v>
      </c>
      <c r="N48" s="689"/>
      <c r="O48" s="695">
        <v>10.0375</v>
      </c>
      <c r="P48" s="689"/>
      <c r="Q48" s="696">
        <f t="shared" si="4"/>
        <v>200750</v>
      </c>
      <c r="S48" s="697">
        <v>0</v>
      </c>
      <c r="U48" s="698">
        <f t="shared" si="5"/>
        <v>0</v>
      </c>
      <c r="W48" s="696">
        <f t="shared" si="6"/>
        <v>200750</v>
      </c>
      <c r="Y48" s="699">
        <v>1.4E-3</v>
      </c>
      <c r="AA48" s="663">
        <f t="shared" si="7"/>
        <v>0</v>
      </c>
      <c r="AC48" s="673" t="s">
        <v>912</v>
      </c>
    </row>
    <row r="49" spans="1:31">
      <c r="A49" s="673">
        <v>39</v>
      </c>
      <c r="C49" s="700" t="s">
        <v>976</v>
      </c>
      <c r="D49" s="689"/>
      <c r="E49" s="690"/>
      <c r="F49" s="690"/>
      <c r="G49" s="690"/>
      <c r="H49" s="689"/>
      <c r="I49" s="690"/>
      <c r="J49" s="689"/>
      <c r="K49" s="701">
        <f>SUM(K41:K48)</f>
        <v>20650</v>
      </c>
      <c r="L49" s="689"/>
      <c r="M49" s="702">
        <f>SUM(M41:M48)</f>
        <v>206568</v>
      </c>
      <c r="N49" s="689"/>
      <c r="O49" s="689"/>
      <c r="P49" s="689"/>
      <c r="Q49" s="703">
        <f>SUM(Q41:Q48)</f>
        <v>207274.375</v>
      </c>
      <c r="U49" s="706">
        <f>SUM(U41:U48)</f>
        <v>0</v>
      </c>
      <c r="W49" s="703">
        <f>SUM(W41:W48)</f>
        <v>207274.375</v>
      </c>
      <c r="AA49" s="703">
        <f>SUM(AA41:AA48)</f>
        <v>289.1952</v>
      </c>
    </row>
    <row r="50" spans="1:31">
      <c r="C50" s="700" t="s">
        <v>877</v>
      </c>
      <c r="D50" s="689"/>
      <c r="E50" s="690"/>
      <c r="F50" s="690"/>
      <c r="G50" s="690"/>
      <c r="H50" s="689"/>
      <c r="I50" s="690"/>
      <c r="J50" s="689"/>
      <c r="K50" s="707"/>
      <c r="L50" s="689"/>
      <c r="M50" s="693"/>
      <c r="N50" s="689"/>
      <c r="O50" s="689"/>
      <c r="P50" s="689"/>
      <c r="Q50" s="689"/>
      <c r="R50" s="689"/>
      <c r="S50" s="689"/>
      <c r="T50" s="689"/>
      <c r="U50" s="689"/>
      <c r="V50" s="689"/>
      <c r="W50" s="689"/>
      <c r="AE50" s="708"/>
    </row>
    <row r="51" spans="1:31">
      <c r="A51" s="673">
        <v>40</v>
      </c>
      <c r="C51" s="688" t="s">
        <v>932</v>
      </c>
      <c r="D51" s="689"/>
      <c r="E51" s="690" t="s">
        <v>912</v>
      </c>
      <c r="F51" s="690"/>
      <c r="G51" s="690" t="s">
        <v>977</v>
      </c>
      <c r="H51" s="689"/>
      <c r="I51" s="691" t="s">
        <v>978</v>
      </c>
      <c r="J51" s="689"/>
      <c r="K51" s="707">
        <v>0</v>
      </c>
      <c r="L51" s="689"/>
      <c r="M51" s="694">
        <v>60063</v>
      </c>
      <c r="N51" s="689"/>
      <c r="O51" s="695">
        <v>0</v>
      </c>
      <c r="P51" s="689"/>
      <c r="Q51" s="696">
        <f t="shared" ref="Q51:Q53" si="8">K51*O51</f>
        <v>0</v>
      </c>
      <c r="R51" s="689"/>
      <c r="S51" s="709">
        <v>0.33</v>
      </c>
      <c r="T51" s="689"/>
      <c r="U51" s="696">
        <f t="shared" ref="U51:U53" si="9">S51*M51</f>
        <v>19820.79</v>
      </c>
      <c r="V51" s="689"/>
      <c r="W51" s="696">
        <f t="shared" ref="W51:W53" si="10">U51+Q51</f>
        <v>19820.79</v>
      </c>
      <c r="Y51" s="699">
        <v>1.4E-3</v>
      </c>
      <c r="AA51" s="663">
        <f t="shared" ref="AA51:AA53" si="11">Y51*M51</f>
        <v>84.088200000000001</v>
      </c>
      <c r="AC51" s="673" t="s">
        <v>912</v>
      </c>
    </row>
    <row r="52" spans="1:31">
      <c r="A52" s="673">
        <v>41</v>
      </c>
      <c r="C52" s="688" t="s">
        <v>952</v>
      </c>
      <c r="D52" s="689"/>
      <c r="E52" s="690" t="s">
        <v>912</v>
      </c>
      <c r="F52" s="690"/>
      <c r="G52" s="690" t="s">
        <v>977</v>
      </c>
      <c r="H52" s="689"/>
      <c r="I52" s="691" t="s">
        <v>979</v>
      </c>
      <c r="J52" s="689"/>
      <c r="K52" s="707">
        <v>0</v>
      </c>
      <c r="L52" s="689"/>
      <c r="M52" s="694">
        <v>1890</v>
      </c>
      <c r="N52" s="689"/>
      <c r="O52" s="695">
        <v>0</v>
      </c>
      <c r="P52" s="689"/>
      <c r="Q52" s="696">
        <f t="shared" si="8"/>
        <v>0</v>
      </c>
      <c r="R52" s="689"/>
      <c r="S52" s="709">
        <v>0.33</v>
      </c>
      <c r="T52" s="689"/>
      <c r="U52" s="696">
        <f t="shared" si="9"/>
        <v>623.70000000000005</v>
      </c>
      <c r="V52" s="689"/>
      <c r="W52" s="696">
        <f t="shared" si="10"/>
        <v>623.70000000000005</v>
      </c>
      <c r="Y52" s="699">
        <v>1.4E-3</v>
      </c>
      <c r="AA52" s="663">
        <f t="shared" si="11"/>
        <v>2.6459999999999999</v>
      </c>
      <c r="AC52" s="673" t="s">
        <v>912</v>
      </c>
    </row>
    <row r="53" spans="1:31">
      <c r="A53" s="673">
        <v>42</v>
      </c>
      <c r="C53" s="688" t="s">
        <v>980</v>
      </c>
      <c r="D53" s="689"/>
      <c r="E53" s="690" t="s">
        <v>912</v>
      </c>
      <c r="F53" s="690"/>
      <c r="G53" s="690" t="s">
        <v>977</v>
      </c>
      <c r="H53" s="689"/>
      <c r="I53" s="691" t="s">
        <v>981</v>
      </c>
      <c r="J53" s="689"/>
      <c r="K53" s="707">
        <v>0</v>
      </c>
      <c r="L53" s="689"/>
      <c r="M53" s="694">
        <v>9450</v>
      </c>
      <c r="N53" s="689"/>
      <c r="O53" s="695">
        <v>0</v>
      </c>
      <c r="P53" s="689"/>
      <c r="Q53" s="696">
        <f t="shared" si="8"/>
        <v>0</v>
      </c>
      <c r="R53" s="689"/>
      <c r="S53" s="709">
        <v>0.33</v>
      </c>
      <c r="T53" s="689"/>
      <c r="U53" s="696">
        <f t="shared" si="9"/>
        <v>3118.5</v>
      </c>
      <c r="V53" s="689"/>
      <c r="W53" s="696">
        <f t="shared" si="10"/>
        <v>3118.5</v>
      </c>
      <c r="Y53" s="699">
        <v>1.4E-3</v>
      </c>
      <c r="AA53" s="663">
        <f t="shared" si="11"/>
        <v>13.23</v>
      </c>
      <c r="AC53" s="673" t="s">
        <v>912</v>
      </c>
    </row>
    <row r="54" spans="1:31">
      <c r="A54" s="673">
        <v>43</v>
      </c>
      <c r="C54" s="700" t="s">
        <v>982</v>
      </c>
      <c r="D54" s="689"/>
      <c r="E54" s="690"/>
      <c r="F54" s="690"/>
      <c r="G54" s="690"/>
      <c r="H54" s="689"/>
      <c r="I54" s="690"/>
      <c r="J54" s="689"/>
      <c r="K54" s="701">
        <f>SUM(K51:K53)</f>
        <v>0</v>
      </c>
      <c r="L54" s="689"/>
      <c r="M54" s="702">
        <f>SUM(M51:M53)</f>
        <v>71403</v>
      </c>
      <c r="N54" s="689"/>
      <c r="O54" s="689"/>
      <c r="P54" s="689"/>
      <c r="Q54" s="703">
        <f>SUM(Q51:Q53)</f>
        <v>0</v>
      </c>
      <c r="R54" s="689"/>
      <c r="S54" s="689"/>
      <c r="T54" s="689"/>
      <c r="U54" s="703">
        <f>SUM(U51:U53)</f>
        <v>23562.99</v>
      </c>
      <c r="V54" s="689"/>
      <c r="W54" s="703">
        <f>SUM(W51:W53)</f>
        <v>23562.99</v>
      </c>
      <c r="AA54" s="703">
        <f>SUM(AA51:AA53)</f>
        <v>99.964200000000005</v>
      </c>
    </row>
    <row r="56" spans="1:31">
      <c r="C56" s="677" t="s">
        <v>983</v>
      </c>
      <c r="D56" s="677"/>
      <c r="E56" s="678"/>
      <c r="F56" s="678"/>
      <c r="G56" s="678"/>
      <c r="H56" s="677"/>
      <c r="I56" s="678"/>
      <c r="J56" s="677"/>
      <c r="K56" s="679"/>
      <c r="L56" s="677"/>
      <c r="M56" s="680"/>
      <c r="N56" s="677"/>
      <c r="O56" s="677"/>
      <c r="P56" s="677"/>
      <c r="Q56" s="677"/>
      <c r="R56" s="677"/>
      <c r="S56" s="677"/>
      <c r="T56" s="677"/>
      <c r="U56" s="677"/>
      <c r="V56" s="677"/>
      <c r="W56" s="677"/>
      <c r="X56" s="677"/>
      <c r="Y56" s="677"/>
      <c r="Z56" s="677"/>
      <c r="AA56" s="677"/>
      <c r="AB56" s="677"/>
      <c r="AC56" s="677"/>
    </row>
    <row r="57" spans="1:31" s="682" customFormat="1">
      <c r="A57" s="673"/>
      <c r="C57" s="683" t="s">
        <v>876</v>
      </c>
      <c r="D57" s="684"/>
      <c r="E57" s="685"/>
      <c r="F57" s="685"/>
      <c r="G57" s="685"/>
      <c r="H57" s="684"/>
      <c r="I57" s="685"/>
      <c r="J57" s="684"/>
      <c r="K57" s="686"/>
      <c r="L57" s="684"/>
      <c r="M57" s="687"/>
      <c r="N57" s="684"/>
      <c r="O57" s="684"/>
      <c r="P57" s="684"/>
      <c r="Q57" s="684"/>
      <c r="R57" s="684"/>
      <c r="S57" s="684"/>
      <c r="T57" s="684"/>
      <c r="U57" s="684"/>
      <c r="V57" s="684"/>
      <c r="W57" s="684"/>
      <c r="X57" s="684"/>
      <c r="Y57" s="684"/>
      <c r="Z57" s="684"/>
      <c r="AA57" s="684"/>
      <c r="AB57" s="684"/>
      <c r="AC57" s="684"/>
    </row>
    <row r="58" spans="1:31">
      <c r="A58" s="673">
        <v>44</v>
      </c>
      <c r="C58" s="688" t="s">
        <v>911</v>
      </c>
      <c r="D58" s="689"/>
      <c r="E58" s="690" t="s">
        <v>912</v>
      </c>
      <c r="F58" s="690"/>
      <c r="G58" s="690" t="s">
        <v>913</v>
      </c>
      <c r="H58" s="689"/>
      <c r="I58" s="691" t="s">
        <v>914</v>
      </c>
      <c r="J58" s="689"/>
      <c r="K58" s="692">
        <v>105750</v>
      </c>
      <c r="L58" s="689"/>
      <c r="M58" s="694">
        <v>887316</v>
      </c>
      <c r="O58" s="695">
        <v>10.0375</v>
      </c>
      <c r="Q58" s="696">
        <f t="shared" ref="Q58:Q86" si="12">K58*O58</f>
        <v>1061465.625</v>
      </c>
      <c r="S58" s="697">
        <v>0</v>
      </c>
      <c r="U58" s="698">
        <f t="shared" ref="U58:U86" si="13">S58*M58</f>
        <v>0</v>
      </c>
      <c r="W58" s="696">
        <f t="shared" ref="W58:W86" si="14">U58+Q58</f>
        <v>1061465.625</v>
      </c>
      <c r="Y58" s="699">
        <v>1.4E-3</v>
      </c>
      <c r="AA58" s="663">
        <f t="shared" ref="AA58:AA86" si="15">Y58*M58</f>
        <v>1242.2424000000001</v>
      </c>
      <c r="AC58" s="673" t="s">
        <v>912</v>
      </c>
    </row>
    <row r="59" spans="1:31">
      <c r="A59" s="673">
        <v>45</v>
      </c>
      <c r="C59" s="688" t="s">
        <v>915</v>
      </c>
      <c r="D59" s="689"/>
      <c r="E59" s="690" t="s">
        <v>912</v>
      </c>
      <c r="F59" s="690"/>
      <c r="G59" s="690" t="s">
        <v>913</v>
      </c>
      <c r="H59" s="689"/>
      <c r="I59" s="691" t="s">
        <v>916</v>
      </c>
      <c r="J59" s="689"/>
      <c r="K59" s="692">
        <v>200</v>
      </c>
      <c r="L59" s="689"/>
      <c r="M59" s="694">
        <v>1680</v>
      </c>
      <c r="O59" s="695">
        <v>10.0375</v>
      </c>
      <c r="Q59" s="696">
        <f t="shared" si="12"/>
        <v>2007.5</v>
      </c>
      <c r="S59" s="697">
        <v>0</v>
      </c>
      <c r="U59" s="698">
        <f t="shared" si="13"/>
        <v>0</v>
      </c>
      <c r="W59" s="696">
        <f t="shared" si="14"/>
        <v>2007.5</v>
      </c>
      <c r="Y59" s="699">
        <v>1.4E-3</v>
      </c>
      <c r="AA59" s="663">
        <f t="shared" si="15"/>
        <v>2.3519999999999999</v>
      </c>
      <c r="AC59" s="673" t="s">
        <v>912</v>
      </c>
    </row>
    <row r="60" spans="1:31">
      <c r="A60" s="673">
        <v>46</v>
      </c>
      <c r="C60" s="688" t="s">
        <v>917</v>
      </c>
      <c r="D60" s="689"/>
      <c r="E60" s="690" t="s">
        <v>912</v>
      </c>
      <c r="F60" s="690"/>
      <c r="G60" s="690" t="s">
        <v>913</v>
      </c>
      <c r="H60" s="689"/>
      <c r="I60" s="691" t="s">
        <v>918</v>
      </c>
      <c r="J60" s="689"/>
      <c r="K60" s="692">
        <v>1200</v>
      </c>
      <c r="L60" s="689"/>
      <c r="M60" s="694">
        <v>13026</v>
      </c>
      <c r="O60" s="695">
        <v>10.0375</v>
      </c>
      <c r="Q60" s="696">
        <f t="shared" si="12"/>
        <v>12045</v>
      </c>
      <c r="S60" s="697">
        <v>0</v>
      </c>
      <c r="U60" s="698">
        <f t="shared" si="13"/>
        <v>0</v>
      </c>
      <c r="W60" s="696">
        <f t="shared" si="14"/>
        <v>12045</v>
      </c>
      <c r="Y60" s="699">
        <v>1.4E-3</v>
      </c>
      <c r="AA60" s="663">
        <f t="shared" si="15"/>
        <v>18.2364</v>
      </c>
      <c r="AC60" s="673" t="s">
        <v>912</v>
      </c>
    </row>
    <row r="61" spans="1:31">
      <c r="A61" s="673">
        <v>47</v>
      </c>
      <c r="C61" s="688" t="s">
        <v>919</v>
      </c>
      <c r="D61" s="689"/>
      <c r="E61" s="690" t="s">
        <v>912</v>
      </c>
      <c r="F61" s="690"/>
      <c r="G61" s="690" t="s">
        <v>913</v>
      </c>
      <c r="H61" s="689"/>
      <c r="I61" s="691" t="s">
        <v>920</v>
      </c>
      <c r="J61" s="689"/>
      <c r="K61" s="692">
        <v>1550</v>
      </c>
      <c r="L61" s="689"/>
      <c r="M61" s="694">
        <v>0</v>
      </c>
      <c r="O61" s="695">
        <v>10.0375</v>
      </c>
      <c r="Q61" s="696">
        <f t="shared" si="12"/>
        <v>15558.125</v>
      </c>
      <c r="S61" s="697">
        <v>0</v>
      </c>
      <c r="U61" s="698">
        <f t="shared" si="13"/>
        <v>0</v>
      </c>
      <c r="W61" s="696">
        <f t="shared" si="14"/>
        <v>15558.125</v>
      </c>
      <c r="Y61" s="699">
        <v>1.4E-3</v>
      </c>
      <c r="AA61" s="663">
        <f t="shared" si="15"/>
        <v>0</v>
      </c>
      <c r="AC61" s="673" t="s">
        <v>912</v>
      </c>
    </row>
    <row r="62" spans="1:31">
      <c r="A62" s="673">
        <v>48</v>
      </c>
      <c r="C62" s="688" t="s">
        <v>911</v>
      </c>
      <c r="D62" s="689"/>
      <c r="E62" s="690" t="s">
        <v>912</v>
      </c>
      <c r="F62" s="690"/>
      <c r="G62" s="690" t="s">
        <v>913</v>
      </c>
      <c r="H62" s="689"/>
      <c r="I62" s="691" t="s">
        <v>921</v>
      </c>
      <c r="J62" s="689"/>
      <c r="K62" s="692">
        <v>10000</v>
      </c>
      <c r="L62" s="689"/>
      <c r="M62" s="694">
        <v>279999</v>
      </c>
      <c r="O62" s="695">
        <v>10.0375</v>
      </c>
      <c r="Q62" s="696">
        <f t="shared" si="12"/>
        <v>100375</v>
      </c>
      <c r="S62" s="697">
        <v>0</v>
      </c>
      <c r="U62" s="698">
        <f t="shared" si="13"/>
        <v>0</v>
      </c>
      <c r="W62" s="696">
        <f t="shared" si="14"/>
        <v>100375</v>
      </c>
      <c r="Y62" s="699">
        <v>1.4E-3</v>
      </c>
      <c r="AA62" s="663">
        <f t="shared" si="15"/>
        <v>391.99860000000001</v>
      </c>
      <c r="AC62" s="673" t="s">
        <v>912</v>
      </c>
    </row>
    <row r="63" spans="1:31">
      <c r="A63" s="673">
        <v>49</v>
      </c>
      <c r="C63" s="688" t="s">
        <v>922</v>
      </c>
      <c r="D63" s="689"/>
      <c r="E63" s="690" t="s">
        <v>912</v>
      </c>
      <c r="F63" s="690"/>
      <c r="G63" s="690" t="s">
        <v>913</v>
      </c>
      <c r="H63" s="689"/>
      <c r="I63" s="691" t="s">
        <v>923</v>
      </c>
      <c r="J63" s="689"/>
      <c r="K63" s="692">
        <v>200</v>
      </c>
      <c r="L63" s="689"/>
      <c r="M63" s="694">
        <v>2600</v>
      </c>
      <c r="O63" s="695">
        <v>10.0375</v>
      </c>
      <c r="Q63" s="696">
        <f t="shared" si="12"/>
        <v>2007.5</v>
      </c>
      <c r="S63" s="697">
        <v>0</v>
      </c>
      <c r="U63" s="698">
        <f t="shared" si="13"/>
        <v>0</v>
      </c>
      <c r="W63" s="696">
        <f t="shared" si="14"/>
        <v>2007.5</v>
      </c>
      <c r="Y63" s="699">
        <v>1.4E-3</v>
      </c>
      <c r="AA63" s="663">
        <f t="shared" si="15"/>
        <v>3.64</v>
      </c>
      <c r="AC63" s="673" t="s">
        <v>912</v>
      </c>
    </row>
    <row r="64" spans="1:31">
      <c r="A64" s="673">
        <v>50</v>
      </c>
      <c r="C64" s="688" t="s">
        <v>924</v>
      </c>
      <c r="D64" s="689"/>
      <c r="E64" s="690" t="s">
        <v>912</v>
      </c>
      <c r="F64" s="690"/>
      <c r="G64" s="690" t="s">
        <v>913</v>
      </c>
      <c r="H64" s="689"/>
      <c r="I64" s="691" t="s">
        <v>925</v>
      </c>
      <c r="J64" s="689"/>
      <c r="K64" s="692">
        <v>550</v>
      </c>
      <c r="L64" s="689"/>
      <c r="M64" s="694">
        <v>15400</v>
      </c>
      <c r="O64" s="695">
        <v>10.0375</v>
      </c>
      <c r="Q64" s="696">
        <f t="shared" si="12"/>
        <v>5520.625</v>
      </c>
      <c r="S64" s="697">
        <v>0</v>
      </c>
      <c r="U64" s="698">
        <f t="shared" si="13"/>
        <v>0</v>
      </c>
      <c r="W64" s="696">
        <f t="shared" si="14"/>
        <v>5520.625</v>
      </c>
      <c r="Y64" s="699">
        <v>1.4E-3</v>
      </c>
      <c r="AA64" s="663">
        <f t="shared" si="15"/>
        <v>21.56</v>
      </c>
      <c r="AC64" s="673" t="s">
        <v>912</v>
      </c>
    </row>
    <row r="65" spans="1:29">
      <c r="A65" s="673">
        <v>51</v>
      </c>
      <c r="C65" s="688" t="s">
        <v>911</v>
      </c>
      <c r="D65" s="689"/>
      <c r="E65" s="690" t="s">
        <v>912</v>
      </c>
      <c r="F65" s="690"/>
      <c r="G65" s="690" t="s">
        <v>913</v>
      </c>
      <c r="H65" s="689"/>
      <c r="I65" s="691" t="s">
        <v>926</v>
      </c>
      <c r="J65" s="689"/>
      <c r="K65" s="692">
        <v>5661</v>
      </c>
      <c r="L65" s="689"/>
      <c r="M65" s="694">
        <v>158508</v>
      </c>
      <c r="O65" s="695">
        <v>10.0375</v>
      </c>
      <c r="Q65" s="696">
        <f t="shared" si="12"/>
        <v>56822.287499999999</v>
      </c>
      <c r="S65" s="697">
        <v>0</v>
      </c>
      <c r="U65" s="698">
        <f t="shared" si="13"/>
        <v>0</v>
      </c>
      <c r="W65" s="696">
        <f t="shared" si="14"/>
        <v>56822.287499999999</v>
      </c>
      <c r="Y65" s="699">
        <v>1.4E-3</v>
      </c>
      <c r="AA65" s="663">
        <f t="shared" si="15"/>
        <v>221.91120000000001</v>
      </c>
      <c r="AC65" s="673" t="s">
        <v>912</v>
      </c>
    </row>
    <row r="66" spans="1:29">
      <c r="A66" s="673">
        <v>52</v>
      </c>
      <c r="C66" s="688" t="s">
        <v>911</v>
      </c>
      <c r="D66" s="689"/>
      <c r="E66" s="690" t="s">
        <v>912</v>
      </c>
      <c r="F66" s="690"/>
      <c r="G66" s="690" t="s">
        <v>913</v>
      </c>
      <c r="H66" s="689"/>
      <c r="I66" s="691" t="s">
        <v>927</v>
      </c>
      <c r="J66" s="689"/>
      <c r="K66" s="692">
        <v>5690</v>
      </c>
      <c r="L66" s="689"/>
      <c r="M66" s="694">
        <v>159319</v>
      </c>
      <c r="O66" s="695">
        <v>10.0375</v>
      </c>
      <c r="Q66" s="696">
        <f t="shared" si="12"/>
        <v>57113.375</v>
      </c>
      <c r="S66" s="697">
        <v>0</v>
      </c>
      <c r="U66" s="698">
        <f t="shared" si="13"/>
        <v>0</v>
      </c>
      <c r="W66" s="696">
        <f t="shared" si="14"/>
        <v>57113.375</v>
      </c>
      <c r="Y66" s="699">
        <v>1.4E-3</v>
      </c>
      <c r="AA66" s="663">
        <f t="shared" si="15"/>
        <v>223.04659999999998</v>
      </c>
      <c r="AC66" s="673" t="s">
        <v>912</v>
      </c>
    </row>
    <row r="67" spans="1:29">
      <c r="A67" s="673">
        <v>53</v>
      </c>
      <c r="C67" s="688" t="s">
        <v>928</v>
      </c>
      <c r="D67" s="689"/>
      <c r="E67" s="690" t="s">
        <v>912</v>
      </c>
      <c r="F67" s="690"/>
      <c r="G67" s="690" t="s">
        <v>913</v>
      </c>
      <c r="H67" s="689"/>
      <c r="I67" s="691" t="s">
        <v>929</v>
      </c>
      <c r="J67" s="689"/>
      <c r="K67" s="692">
        <v>8000</v>
      </c>
      <c r="L67" s="689"/>
      <c r="M67" s="694">
        <v>210224</v>
      </c>
      <c r="O67" s="695">
        <v>10.0375</v>
      </c>
      <c r="Q67" s="696">
        <f t="shared" si="12"/>
        <v>80300</v>
      </c>
      <c r="S67" s="697">
        <v>0</v>
      </c>
      <c r="U67" s="698">
        <f t="shared" si="13"/>
        <v>0</v>
      </c>
      <c r="W67" s="696">
        <f t="shared" si="14"/>
        <v>80300</v>
      </c>
      <c r="Y67" s="699">
        <v>1.4E-3</v>
      </c>
      <c r="AA67" s="663">
        <f t="shared" si="15"/>
        <v>294.31360000000001</v>
      </c>
      <c r="AC67" s="673" t="s">
        <v>912</v>
      </c>
    </row>
    <row r="68" spans="1:29">
      <c r="A68" s="673">
        <v>54</v>
      </c>
      <c r="C68" s="688" t="s">
        <v>928</v>
      </c>
      <c r="D68" s="689"/>
      <c r="E68" s="690" t="s">
        <v>912</v>
      </c>
      <c r="F68" s="690"/>
      <c r="G68" s="690" t="s">
        <v>913</v>
      </c>
      <c r="H68" s="689"/>
      <c r="I68" s="691" t="s">
        <v>930</v>
      </c>
      <c r="J68" s="689"/>
      <c r="K68" s="692">
        <v>16500</v>
      </c>
      <c r="L68" s="689"/>
      <c r="M68" s="694">
        <v>154168</v>
      </c>
      <c r="O68" s="695">
        <v>10.0375</v>
      </c>
      <c r="Q68" s="696">
        <f t="shared" si="12"/>
        <v>165618.75</v>
      </c>
      <c r="S68" s="697">
        <v>0</v>
      </c>
      <c r="U68" s="698">
        <f t="shared" si="13"/>
        <v>0</v>
      </c>
      <c r="W68" s="696">
        <f t="shared" si="14"/>
        <v>165618.75</v>
      </c>
      <c r="Y68" s="699">
        <v>1.4E-3</v>
      </c>
      <c r="AA68" s="663">
        <f t="shared" si="15"/>
        <v>215.83519999999999</v>
      </c>
      <c r="AC68" s="673" t="s">
        <v>912</v>
      </c>
    </row>
    <row r="69" spans="1:29">
      <c r="A69" s="673">
        <v>55</v>
      </c>
      <c r="C69" s="688" t="s">
        <v>911</v>
      </c>
      <c r="D69" s="689"/>
      <c r="E69" s="690" t="s">
        <v>912</v>
      </c>
      <c r="F69" s="690"/>
      <c r="G69" s="690" t="s">
        <v>913</v>
      </c>
      <c r="H69" s="689"/>
      <c r="I69" s="691" t="s">
        <v>931</v>
      </c>
      <c r="J69" s="689"/>
      <c r="K69" s="692">
        <v>5722</v>
      </c>
      <c r="L69" s="689"/>
      <c r="M69" s="694">
        <v>160216</v>
      </c>
      <c r="O69" s="695">
        <v>10.0375</v>
      </c>
      <c r="Q69" s="696">
        <f t="shared" si="12"/>
        <v>57434.574999999997</v>
      </c>
      <c r="S69" s="697">
        <v>0</v>
      </c>
      <c r="U69" s="698">
        <f t="shared" si="13"/>
        <v>0</v>
      </c>
      <c r="W69" s="696">
        <f t="shared" si="14"/>
        <v>57434.574999999997</v>
      </c>
      <c r="Y69" s="699">
        <v>1.4E-3</v>
      </c>
      <c r="AA69" s="663">
        <f t="shared" si="15"/>
        <v>224.30240000000001</v>
      </c>
      <c r="AC69" s="673" t="s">
        <v>912</v>
      </c>
    </row>
    <row r="70" spans="1:29">
      <c r="A70" s="673">
        <v>56</v>
      </c>
      <c r="C70" s="688" t="s">
        <v>932</v>
      </c>
      <c r="D70" s="689"/>
      <c r="E70" s="690" t="s">
        <v>912</v>
      </c>
      <c r="F70" s="690"/>
      <c r="G70" s="690" t="s">
        <v>913</v>
      </c>
      <c r="H70" s="689"/>
      <c r="I70" s="691" t="s">
        <v>933</v>
      </c>
      <c r="J70" s="689"/>
      <c r="K70" s="692">
        <v>760</v>
      </c>
      <c r="L70" s="689"/>
      <c r="M70" s="694">
        <v>21267</v>
      </c>
      <c r="O70" s="695">
        <v>10.0375</v>
      </c>
      <c r="Q70" s="696">
        <f t="shared" si="12"/>
        <v>7628.5</v>
      </c>
      <c r="S70" s="697">
        <v>0</v>
      </c>
      <c r="U70" s="698">
        <f t="shared" si="13"/>
        <v>0</v>
      </c>
      <c r="W70" s="696">
        <f t="shared" si="14"/>
        <v>7628.5</v>
      </c>
      <c r="Y70" s="699">
        <v>1.4E-3</v>
      </c>
      <c r="AA70" s="663">
        <f t="shared" si="15"/>
        <v>29.773800000000001</v>
      </c>
      <c r="AC70" s="673" t="s">
        <v>912</v>
      </c>
    </row>
    <row r="71" spans="1:29">
      <c r="A71" s="673">
        <v>57</v>
      </c>
      <c r="C71" s="688" t="s">
        <v>922</v>
      </c>
      <c r="D71" s="689"/>
      <c r="E71" s="690" t="s">
        <v>912</v>
      </c>
      <c r="F71" s="690"/>
      <c r="G71" s="690" t="s">
        <v>913</v>
      </c>
      <c r="H71" s="689"/>
      <c r="I71" s="691" t="s">
        <v>934</v>
      </c>
      <c r="J71" s="689"/>
      <c r="K71" s="692">
        <v>150</v>
      </c>
      <c r="L71" s="689"/>
      <c r="M71" s="694">
        <v>1950</v>
      </c>
      <c r="O71" s="695">
        <v>10.0375</v>
      </c>
      <c r="Q71" s="696">
        <f t="shared" si="12"/>
        <v>1505.625</v>
      </c>
      <c r="S71" s="697">
        <v>0</v>
      </c>
      <c r="U71" s="698">
        <f t="shared" si="13"/>
        <v>0</v>
      </c>
      <c r="W71" s="696">
        <f t="shared" si="14"/>
        <v>1505.625</v>
      </c>
      <c r="Y71" s="699">
        <v>1.4E-3</v>
      </c>
      <c r="AA71" s="663">
        <f t="shared" si="15"/>
        <v>2.73</v>
      </c>
      <c r="AC71" s="673" t="s">
        <v>912</v>
      </c>
    </row>
    <row r="72" spans="1:29">
      <c r="A72" s="673">
        <v>58</v>
      </c>
      <c r="C72" s="688" t="s">
        <v>922</v>
      </c>
      <c r="D72" s="689"/>
      <c r="E72" s="690" t="s">
        <v>912</v>
      </c>
      <c r="F72" s="690"/>
      <c r="G72" s="690" t="s">
        <v>913</v>
      </c>
      <c r="H72" s="689"/>
      <c r="I72" s="691" t="s">
        <v>935</v>
      </c>
      <c r="J72" s="689"/>
      <c r="K72" s="692">
        <v>250</v>
      </c>
      <c r="L72" s="689"/>
      <c r="M72" s="694">
        <v>4750</v>
      </c>
      <c r="O72" s="695">
        <v>10.0375</v>
      </c>
      <c r="Q72" s="696">
        <f t="shared" si="12"/>
        <v>2509.375</v>
      </c>
      <c r="S72" s="697">
        <v>0</v>
      </c>
      <c r="U72" s="698">
        <f t="shared" si="13"/>
        <v>0</v>
      </c>
      <c r="W72" s="696">
        <f t="shared" si="14"/>
        <v>2509.375</v>
      </c>
      <c r="Y72" s="699">
        <v>1.4E-3</v>
      </c>
      <c r="AA72" s="663">
        <f t="shared" si="15"/>
        <v>6.65</v>
      </c>
      <c r="AC72" s="673" t="s">
        <v>912</v>
      </c>
    </row>
    <row r="73" spans="1:29">
      <c r="A73" s="673">
        <v>59</v>
      </c>
      <c r="C73" s="688" t="s">
        <v>922</v>
      </c>
      <c r="D73" s="689"/>
      <c r="E73" s="690" t="s">
        <v>912</v>
      </c>
      <c r="F73" s="690"/>
      <c r="G73" s="690" t="s">
        <v>913</v>
      </c>
      <c r="H73" s="689"/>
      <c r="I73" s="691" t="s">
        <v>936</v>
      </c>
      <c r="J73" s="689"/>
      <c r="K73" s="692">
        <v>400</v>
      </c>
      <c r="L73" s="689"/>
      <c r="M73" s="694">
        <v>11200</v>
      </c>
      <c r="O73" s="695">
        <v>10.0375</v>
      </c>
      <c r="Q73" s="696">
        <f t="shared" si="12"/>
        <v>4015</v>
      </c>
      <c r="S73" s="697">
        <v>0</v>
      </c>
      <c r="U73" s="698">
        <f t="shared" si="13"/>
        <v>0</v>
      </c>
      <c r="W73" s="696">
        <f t="shared" si="14"/>
        <v>4015</v>
      </c>
      <c r="Y73" s="699">
        <v>1.4E-3</v>
      </c>
      <c r="AA73" s="663">
        <f t="shared" si="15"/>
        <v>15.68</v>
      </c>
      <c r="AC73" s="673" t="s">
        <v>912</v>
      </c>
    </row>
    <row r="74" spans="1:29">
      <c r="A74" s="673">
        <v>60</v>
      </c>
      <c r="C74" s="688" t="s">
        <v>911</v>
      </c>
      <c r="D74" s="689"/>
      <c r="E74" s="690" t="s">
        <v>912</v>
      </c>
      <c r="F74" s="690"/>
      <c r="G74" s="690" t="s">
        <v>913</v>
      </c>
      <c r="H74" s="689"/>
      <c r="I74" s="691" t="s">
        <v>937</v>
      </c>
      <c r="J74" s="689"/>
      <c r="K74" s="692">
        <v>40000</v>
      </c>
      <c r="L74" s="689"/>
      <c r="M74" s="694">
        <v>1118448</v>
      </c>
      <c r="O74" s="695">
        <v>10.0375</v>
      </c>
      <c r="Q74" s="696">
        <f t="shared" si="12"/>
        <v>401500</v>
      </c>
      <c r="S74" s="697">
        <v>0</v>
      </c>
      <c r="U74" s="698">
        <f t="shared" si="13"/>
        <v>0</v>
      </c>
      <c r="W74" s="696">
        <f t="shared" si="14"/>
        <v>401500</v>
      </c>
      <c r="Y74" s="699">
        <v>1.4E-3</v>
      </c>
      <c r="AA74" s="663">
        <f t="shared" si="15"/>
        <v>1565.8271999999999</v>
      </c>
      <c r="AC74" s="673" t="s">
        <v>912</v>
      </c>
    </row>
    <row r="75" spans="1:29">
      <c r="A75" s="673">
        <v>61</v>
      </c>
      <c r="C75" s="688" t="s">
        <v>938</v>
      </c>
      <c r="D75" s="689"/>
      <c r="E75" s="690" t="s">
        <v>912</v>
      </c>
      <c r="F75" s="690"/>
      <c r="G75" s="690" t="s">
        <v>913</v>
      </c>
      <c r="H75" s="689"/>
      <c r="I75" s="691" t="s">
        <v>939</v>
      </c>
      <c r="J75" s="689"/>
      <c r="K75" s="692">
        <v>800</v>
      </c>
      <c r="L75" s="689"/>
      <c r="M75" s="694">
        <v>16797</v>
      </c>
      <c r="O75" s="695">
        <v>10.0375</v>
      </c>
      <c r="Q75" s="696">
        <f t="shared" si="12"/>
        <v>8030</v>
      </c>
      <c r="S75" s="697">
        <v>0</v>
      </c>
      <c r="U75" s="698">
        <f t="shared" si="13"/>
        <v>0</v>
      </c>
      <c r="W75" s="696">
        <f t="shared" si="14"/>
        <v>8030</v>
      </c>
      <c r="Y75" s="699">
        <v>1.4E-3</v>
      </c>
      <c r="AA75" s="663">
        <f t="shared" si="15"/>
        <v>23.515799999999999</v>
      </c>
      <c r="AC75" s="673" t="s">
        <v>912</v>
      </c>
    </row>
    <row r="76" spans="1:29">
      <c r="A76" s="673">
        <v>62</v>
      </c>
      <c r="C76" s="688" t="s">
        <v>938</v>
      </c>
      <c r="D76" s="689"/>
      <c r="E76" s="690" t="s">
        <v>912</v>
      </c>
      <c r="F76" s="690"/>
      <c r="G76" s="690" t="s">
        <v>913</v>
      </c>
      <c r="H76" s="689"/>
      <c r="I76" s="691" t="s">
        <v>940</v>
      </c>
      <c r="J76" s="689"/>
      <c r="K76" s="692">
        <v>200</v>
      </c>
      <c r="L76" s="689"/>
      <c r="M76" s="694">
        <v>5499</v>
      </c>
      <c r="O76" s="695">
        <v>10.0375</v>
      </c>
      <c r="Q76" s="696">
        <f t="shared" si="12"/>
        <v>2007.5</v>
      </c>
      <c r="S76" s="697">
        <v>0</v>
      </c>
      <c r="U76" s="698">
        <f t="shared" si="13"/>
        <v>0</v>
      </c>
      <c r="W76" s="696">
        <f t="shared" si="14"/>
        <v>2007.5</v>
      </c>
      <c r="Y76" s="699">
        <v>1.4E-3</v>
      </c>
      <c r="AA76" s="663">
        <f t="shared" si="15"/>
        <v>7.6985999999999999</v>
      </c>
      <c r="AC76" s="673" t="s">
        <v>912</v>
      </c>
    </row>
    <row r="77" spans="1:29">
      <c r="A77" s="673">
        <v>63</v>
      </c>
      <c r="C77" s="688" t="s">
        <v>938</v>
      </c>
      <c r="D77" s="689"/>
      <c r="E77" s="690" t="s">
        <v>912</v>
      </c>
      <c r="F77" s="690"/>
      <c r="G77" s="690" t="s">
        <v>913</v>
      </c>
      <c r="H77" s="689"/>
      <c r="I77" s="691" t="s">
        <v>941</v>
      </c>
      <c r="J77" s="689"/>
      <c r="K77" s="692">
        <v>400</v>
      </c>
      <c r="L77" s="689"/>
      <c r="M77" s="694">
        <v>11198</v>
      </c>
      <c r="O77" s="695">
        <v>10.0375</v>
      </c>
      <c r="Q77" s="696">
        <f t="shared" si="12"/>
        <v>4015</v>
      </c>
      <c r="S77" s="697">
        <v>0</v>
      </c>
      <c r="U77" s="698">
        <f t="shared" si="13"/>
        <v>0</v>
      </c>
      <c r="W77" s="696">
        <f t="shared" si="14"/>
        <v>4015</v>
      </c>
      <c r="Y77" s="699">
        <v>1.4E-3</v>
      </c>
      <c r="AA77" s="663">
        <f t="shared" si="15"/>
        <v>15.677199999999999</v>
      </c>
      <c r="AC77" s="673" t="s">
        <v>912</v>
      </c>
    </row>
    <row r="78" spans="1:29">
      <c r="A78" s="673">
        <v>64</v>
      </c>
      <c r="C78" s="688" t="s">
        <v>942</v>
      </c>
      <c r="D78" s="689"/>
      <c r="E78" s="690" t="s">
        <v>912</v>
      </c>
      <c r="F78" s="690"/>
      <c r="G78" s="690" t="s">
        <v>913</v>
      </c>
      <c r="H78" s="689"/>
      <c r="I78" s="691" t="s">
        <v>943</v>
      </c>
      <c r="J78" s="689"/>
      <c r="K78" s="692">
        <v>603</v>
      </c>
      <c r="L78" s="689"/>
      <c r="M78" s="694">
        <v>16576</v>
      </c>
      <c r="O78" s="695">
        <v>10.0375</v>
      </c>
      <c r="Q78" s="696">
        <f t="shared" si="12"/>
        <v>6052.6125000000002</v>
      </c>
      <c r="S78" s="697">
        <v>0</v>
      </c>
      <c r="U78" s="698">
        <f t="shared" si="13"/>
        <v>0</v>
      </c>
      <c r="W78" s="696">
        <f t="shared" si="14"/>
        <v>6052.6125000000002</v>
      </c>
      <c r="Y78" s="699">
        <v>1.4E-3</v>
      </c>
      <c r="AA78" s="663">
        <f t="shared" si="15"/>
        <v>23.206399999999999</v>
      </c>
      <c r="AC78" s="673" t="s">
        <v>912</v>
      </c>
    </row>
    <row r="79" spans="1:29">
      <c r="A79" s="673">
        <v>65</v>
      </c>
      <c r="C79" s="688" t="s">
        <v>944</v>
      </c>
      <c r="D79" s="689"/>
      <c r="E79" s="690" t="s">
        <v>912</v>
      </c>
      <c r="F79" s="690"/>
      <c r="G79" s="690" t="s">
        <v>913</v>
      </c>
      <c r="H79" s="689"/>
      <c r="I79" s="691" t="s">
        <v>945</v>
      </c>
      <c r="J79" s="689"/>
      <c r="K79" s="692">
        <v>770</v>
      </c>
      <c r="L79" s="689"/>
      <c r="M79" s="694">
        <v>17128</v>
      </c>
      <c r="O79" s="695">
        <v>10.0375</v>
      </c>
      <c r="Q79" s="696">
        <f t="shared" si="12"/>
        <v>7728.875</v>
      </c>
      <c r="S79" s="697">
        <v>0</v>
      </c>
      <c r="U79" s="698">
        <f t="shared" si="13"/>
        <v>0</v>
      </c>
      <c r="W79" s="696">
        <f t="shared" si="14"/>
        <v>7728.875</v>
      </c>
      <c r="Y79" s="699">
        <v>1.4E-3</v>
      </c>
      <c r="AA79" s="663">
        <f t="shared" si="15"/>
        <v>23.979199999999999</v>
      </c>
      <c r="AC79" s="673" t="s">
        <v>912</v>
      </c>
    </row>
    <row r="80" spans="1:29">
      <c r="A80" s="673">
        <v>66</v>
      </c>
      <c r="C80" s="688" t="s">
        <v>946</v>
      </c>
      <c r="D80" s="689"/>
      <c r="E80" s="690" t="s">
        <v>912</v>
      </c>
      <c r="F80" s="690"/>
      <c r="G80" s="690" t="s">
        <v>913</v>
      </c>
      <c r="H80" s="689"/>
      <c r="I80" s="691" t="s">
        <v>947</v>
      </c>
      <c r="J80" s="689"/>
      <c r="K80" s="692">
        <v>397</v>
      </c>
      <c r="L80" s="689"/>
      <c r="M80" s="694">
        <v>9561</v>
      </c>
      <c r="O80" s="695">
        <v>10.0375</v>
      </c>
      <c r="Q80" s="696">
        <f t="shared" si="12"/>
        <v>3984.8874999999998</v>
      </c>
      <c r="S80" s="697">
        <v>0</v>
      </c>
      <c r="U80" s="698">
        <f t="shared" si="13"/>
        <v>0</v>
      </c>
      <c r="W80" s="696">
        <f t="shared" si="14"/>
        <v>3984.8874999999998</v>
      </c>
      <c r="Y80" s="699">
        <v>1.4E-3</v>
      </c>
      <c r="AA80" s="663">
        <f t="shared" si="15"/>
        <v>13.385400000000001</v>
      </c>
      <c r="AC80" s="673" t="s">
        <v>912</v>
      </c>
    </row>
    <row r="81" spans="1:32">
      <c r="A81" s="673">
        <v>67</v>
      </c>
      <c r="C81" s="688" t="s">
        <v>948</v>
      </c>
      <c r="D81" s="689"/>
      <c r="E81" s="690" t="s">
        <v>912</v>
      </c>
      <c r="F81" s="690"/>
      <c r="G81" s="690" t="s">
        <v>913</v>
      </c>
      <c r="H81" s="689"/>
      <c r="I81" s="691" t="s">
        <v>949</v>
      </c>
      <c r="J81" s="689"/>
      <c r="K81" s="692">
        <v>101</v>
      </c>
      <c r="L81" s="689"/>
      <c r="M81" s="694">
        <v>2193</v>
      </c>
      <c r="O81" s="695">
        <v>10.0375</v>
      </c>
      <c r="Q81" s="696">
        <f t="shared" si="12"/>
        <v>1013.7874999999999</v>
      </c>
      <c r="S81" s="697">
        <v>0</v>
      </c>
      <c r="U81" s="698">
        <f t="shared" si="13"/>
        <v>0</v>
      </c>
      <c r="W81" s="696">
        <f t="shared" si="14"/>
        <v>1013.7874999999999</v>
      </c>
      <c r="Y81" s="699">
        <v>1.4E-3</v>
      </c>
      <c r="AA81" s="663">
        <f t="shared" si="15"/>
        <v>3.0701999999999998</v>
      </c>
      <c r="AC81" s="673" t="s">
        <v>912</v>
      </c>
    </row>
    <row r="82" spans="1:32">
      <c r="A82" s="673">
        <v>68</v>
      </c>
      <c r="C82" s="688" t="s">
        <v>950</v>
      </c>
      <c r="D82" s="689"/>
      <c r="E82" s="690" t="s">
        <v>912</v>
      </c>
      <c r="F82" s="690"/>
      <c r="G82" s="690" t="s">
        <v>913</v>
      </c>
      <c r="H82" s="689"/>
      <c r="I82" s="691" t="s">
        <v>951</v>
      </c>
      <c r="J82" s="689"/>
      <c r="K82" s="692">
        <v>400</v>
      </c>
      <c r="L82" s="689"/>
      <c r="M82" s="694">
        <v>9990</v>
      </c>
      <c r="O82" s="695">
        <v>10.0375</v>
      </c>
      <c r="Q82" s="696">
        <f t="shared" si="12"/>
        <v>4015</v>
      </c>
      <c r="S82" s="697">
        <v>0</v>
      </c>
      <c r="U82" s="698">
        <f t="shared" si="13"/>
        <v>0</v>
      </c>
      <c r="W82" s="696">
        <f t="shared" si="14"/>
        <v>4015</v>
      </c>
      <c r="Y82" s="699">
        <v>1.4E-3</v>
      </c>
      <c r="AA82" s="663">
        <f t="shared" si="15"/>
        <v>13.986000000000001</v>
      </c>
      <c r="AC82" s="673" t="s">
        <v>912</v>
      </c>
    </row>
    <row r="83" spans="1:32">
      <c r="A83" s="673">
        <v>69</v>
      </c>
      <c r="C83" s="688" t="s">
        <v>952</v>
      </c>
      <c r="D83" s="689"/>
      <c r="E83" s="690" t="s">
        <v>912</v>
      </c>
      <c r="F83" s="690"/>
      <c r="G83" s="690" t="s">
        <v>913</v>
      </c>
      <c r="H83" s="689"/>
      <c r="I83" s="691" t="s">
        <v>953</v>
      </c>
      <c r="J83" s="689"/>
      <c r="K83" s="692">
        <v>748</v>
      </c>
      <c r="L83" s="689"/>
      <c r="M83" s="694">
        <v>20442</v>
      </c>
      <c r="O83" s="695">
        <v>10.0375</v>
      </c>
      <c r="Q83" s="696">
        <f t="shared" si="12"/>
        <v>7508.05</v>
      </c>
      <c r="S83" s="697">
        <v>0</v>
      </c>
      <c r="U83" s="698">
        <f t="shared" si="13"/>
        <v>0</v>
      </c>
      <c r="W83" s="696">
        <f t="shared" si="14"/>
        <v>7508.05</v>
      </c>
      <c r="Y83" s="699">
        <v>1.4E-3</v>
      </c>
      <c r="AA83" s="663">
        <f t="shared" si="15"/>
        <v>28.6188</v>
      </c>
      <c r="AC83" s="673" t="s">
        <v>912</v>
      </c>
    </row>
    <row r="84" spans="1:32">
      <c r="A84" s="673">
        <v>70</v>
      </c>
      <c r="C84" s="688" t="s">
        <v>954</v>
      </c>
      <c r="D84" s="689"/>
      <c r="E84" s="690" t="s">
        <v>912</v>
      </c>
      <c r="F84" s="690"/>
      <c r="G84" s="690" t="s">
        <v>913</v>
      </c>
      <c r="H84" s="689"/>
      <c r="I84" s="691" t="s">
        <v>955</v>
      </c>
      <c r="J84" s="689"/>
      <c r="K84" s="692">
        <v>574</v>
      </c>
      <c r="L84" s="689"/>
      <c r="M84" s="694">
        <v>14540</v>
      </c>
      <c r="O84" s="695">
        <v>10.0375</v>
      </c>
      <c r="Q84" s="696">
        <f t="shared" si="12"/>
        <v>5761.5249999999996</v>
      </c>
      <c r="S84" s="697">
        <v>0</v>
      </c>
      <c r="U84" s="698">
        <f t="shared" si="13"/>
        <v>0</v>
      </c>
      <c r="W84" s="696">
        <f t="shared" si="14"/>
        <v>5761.5249999999996</v>
      </c>
      <c r="Y84" s="699">
        <v>1.4E-3</v>
      </c>
      <c r="AA84" s="663">
        <f t="shared" si="15"/>
        <v>20.355999999999998</v>
      </c>
      <c r="AC84" s="673" t="s">
        <v>912</v>
      </c>
    </row>
    <row r="85" spans="1:32">
      <c r="A85" s="673">
        <v>71</v>
      </c>
      <c r="C85" s="688" t="s">
        <v>956</v>
      </c>
      <c r="D85" s="689"/>
      <c r="E85" s="690" t="s">
        <v>912</v>
      </c>
      <c r="F85" s="690"/>
      <c r="G85" s="690" t="s">
        <v>913</v>
      </c>
      <c r="H85" s="689"/>
      <c r="I85" s="691" t="s">
        <v>957</v>
      </c>
      <c r="J85" s="689"/>
      <c r="K85" s="692">
        <v>761</v>
      </c>
      <c r="L85" s="689"/>
      <c r="M85" s="694">
        <v>20233</v>
      </c>
      <c r="O85" s="695">
        <v>10.0375</v>
      </c>
      <c r="Q85" s="696">
        <f t="shared" si="12"/>
        <v>7638.5374999999995</v>
      </c>
      <c r="S85" s="697">
        <v>0</v>
      </c>
      <c r="U85" s="698">
        <f t="shared" si="13"/>
        <v>0</v>
      </c>
      <c r="W85" s="696">
        <f t="shared" si="14"/>
        <v>7638.5374999999995</v>
      </c>
      <c r="Y85" s="699">
        <v>1.4E-3</v>
      </c>
      <c r="AA85" s="663">
        <f t="shared" si="15"/>
        <v>28.3262</v>
      </c>
      <c r="AC85" s="673" t="s">
        <v>912</v>
      </c>
    </row>
    <row r="86" spans="1:32">
      <c r="A86" s="673">
        <v>72</v>
      </c>
      <c r="C86" s="688" t="s">
        <v>958</v>
      </c>
      <c r="D86" s="689"/>
      <c r="E86" s="690" t="s">
        <v>912</v>
      </c>
      <c r="F86" s="690"/>
      <c r="G86" s="690" t="s">
        <v>913</v>
      </c>
      <c r="H86" s="689"/>
      <c r="I86" s="691" t="s">
        <v>959</v>
      </c>
      <c r="J86" s="689"/>
      <c r="K86" s="692">
        <v>43</v>
      </c>
      <c r="L86" s="689"/>
      <c r="M86" s="694">
        <v>1204</v>
      </c>
      <c r="O86" s="695">
        <v>10.0375</v>
      </c>
      <c r="Q86" s="696">
        <f t="shared" si="12"/>
        <v>431.61250000000001</v>
      </c>
      <c r="S86" s="697">
        <v>0</v>
      </c>
      <c r="U86" s="698">
        <f t="shared" si="13"/>
        <v>0</v>
      </c>
      <c r="W86" s="696">
        <f t="shared" si="14"/>
        <v>431.61250000000001</v>
      </c>
      <c r="Y86" s="699">
        <v>1.4E-3</v>
      </c>
      <c r="AA86" s="663">
        <f t="shared" si="15"/>
        <v>1.6856</v>
      </c>
      <c r="AC86" s="673" t="s">
        <v>912</v>
      </c>
    </row>
    <row r="87" spans="1:32">
      <c r="A87" s="673">
        <v>73</v>
      </c>
      <c r="C87" s="700" t="s">
        <v>960</v>
      </c>
      <c r="K87" s="701">
        <f>SUM(K58:K86)</f>
        <v>208380</v>
      </c>
      <c r="M87" s="702">
        <f>SUM(M58:M86)</f>
        <v>3345432</v>
      </c>
      <c r="Q87" s="703">
        <f>SUM(Q58:Q86)</f>
        <v>2091614.2500000002</v>
      </c>
      <c r="U87" s="703">
        <f>SUM(U58:U86)</f>
        <v>0</v>
      </c>
      <c r="W87" s="703">
        <f>SUM(W58:W86)</f>
        <v>2091614.2500000002</v>
      </c>
      <c r="AA87" s="703">
        <f>SUM(AA58:AA86)</f>
        <v>4683.6048000000001</v>
      </c>
    </row>
    <row r="88" spans="1:32">
      <c r="C88" s="700" t="s">
        <v>961</v>
      </c>
      <c r="D88" s="689"/>
      <c r="E88" s="690"/>
      <c r="F88" s="690"/>
      <c r="G88" s="690"/>
      <c r="H88" s="689"/>
      <c r="I88" s="690"/>
      <c r="J88" s="689"/>
      <c r="K88" s="707"/>
      <c r="L88" s="689"/>
      <c r="M88" s="693"/>
      <c r="N88" s="689"/>
      <c r="O88" s="689"/>
      <c r="P88" s="689"/>
      <c r="Q88" s="689"/>
      <c r="R88" s="689"/>
      <c r="S88" s="689"/>
      <c r="T88" s="689"/>
      <c r="U88" s="689"/>
      <c r="V88" s="689"/>
      <c r="W88" s="689"/>
      <c r="AF88" s="708"/>
    </row>
    <row r="89" spans="1:32">
      <c r="A89" s="673">
        <v>74</v>
      </c>
      <c r="C89" s="688" t="s">
        <v>932</v>
      </c>
      <c r="D89" s="689"/>
      <c r="E89" s="690" t="s">
        <v>912</v>
      </c>
      <c r="F89" s="690"/>
      <c r="G89" s="690" t="s">
        <v>962</v>
      </c>
      <c r="H89" s="689"/>
      <c r="I89" s="691" t="s">
        <v>965</v>
      </c>
      <c r="J89" s="689"/>
      <c r="K89" s="692"/>
      <c r="L89" s="689"/>
      <c r="M89" s="694">
        <v>4200</v>
      </c>
      <c r="N89" s="689"/>
      <c r="O89" s="695">
        <v>10.0375</v>
      </c>
      <c r="P89" s="689"/>
      <c r="Q89" s="696">
        <f t="shared" ref="Q89:Q96" si="16">K89*O89</f>
        <v>0</v>
      </c>
      <c r="R89" s="689"/>
      <c r="S89" s="697">
        <v>0</v>
      </c>
      <c r="T89" s="689"/>
      <c r="U89" s="698">
        <f t="shared" ref="U89:U96" si="17">S89*M89</f>
        <v>0</v>
      </c>
      <c r="V89" s="689"/>
      <c r="W89" s="696">
        <f t="shared" ref="W89:W96" si="18">U89+Q89</f>
        <v>0</v>
      </c>
      <c r="Y89" s="699">
        <v>1.4E-3</v>
      </c>
      <c r="AA89" s="663">
        <f t="shared" ref="AA89:AA96" si="19">Y89*M89</f>
        <v>5.88</v>
      </c>
      <c r="AC89" s="673" t="s">
        <v>912</v>
      </c>
    </row>
    <row r="90" spans="1:32">
      <c r="A90" s="673">
        <v>75</v>
      </c>
      <c r="C90" s="688" t="s">
        <v>966</v>
      </c>
      <c r="D90" s="689"/>
      <c r="E90" s="690" t="s">
        <v>912</v>
      </c>
      <c r="F90" s="690"/>
      <c r="G90" s="690" t="s">
        <v>962</v>
      </c>
      <c r="H90" s="689"/>
      <c r="I90" s="691" t="s">
        <v>967</v>
      </c>
      <c r="J90" s="689"/>
      <c r="K90" s="692"/>
      <c r="L90" s="689"/>
      <c r="M90" s="694">
        <v>157046</v>
      </c>
      <c r="N90" s="689"/>
      <c r="O90" s="695">
        <v>10.0375</v>
      </c>
      <c r="P90" s="689"/>
      <c r="Q90" s="696">
        <f t="shared" si="16"/>
        <v>0</v>
      </c>
      <c r="R90" s="689"/>
      <c r="S90" s="697">
        <v>0</v>
      </c>
      <c r="T90" s="689"/>
      <c r="U90" s="698">
        <f t="shared" si="17"/>
        <v>0</v>
      </c>
      <c r="V90" s="689"/>
      <c r="W90" s="696">
        <f t="shared" si="18"/>
        <v>0</v>
      </c>
      <c r="Y90" s="699">
        <v>1.4E-3</v>
      </c>
      <c r="AA90" s="663">
        <f t="shared" si="19"/>
        <v>219.86439999999999</v>
      </c>
      <c r="AC90" s="673" t="s">
        <v>912</v>
      </c>
    </row>
    <row r="91" spans="1:32">
      <c r="A91" s="673">
        <v>76</v>
      </c>
      <c r="C91" s="688" t="s">
        <v>966</v>
      </c>
      <c r="D91" s="689"/>
      <c r="E91" s="690" t="s">
        <v>912</v>
      </c>
      <c r="F91" s="690"/>
      <c r="G91" s="690" t="s">
        <v>962</v>
      </c>
      <c r="H91" s="689"/>
      <c r="I91" s="691" t="s">
        <v>968</v>
      </c>
      <c r="J91" s="689"/>
      <c r="K91" s="692"/>
      <c r="L91" s="689"/>
      <c r="M91" s="694">
        <v>6594</v>
      </c>
      <c r="N91" s="689"/>
      <c r="O91" s="695">
        <v>10.0375</v>
      </c>
      <c r="P91" s="689"/>
      <c r="Q91" s="696">
        <f t="shared" si="16"/>
        <v>0</v>
      </c>
      <c r="R91" s="689"/>
      <c r="S91" s="697">
        <v>0</v>
      </c>
      <c r="T91" s="689"/>
      <c r="U91" s="698">
        <f t="shared" si="17"/>
        <v>0</v>
      </c>
      <c r="V91" s="689"/>
      <c r="W91" s="696">
        <f t="shared" si="18"/>
        <v>0</v>
      </c>
      <c r="Y91" s="699">
        <v>1.4E-3</v>
      </c>
      <c r="AA91" s="663">
        <f t="shared" si="19"/>
        <v>9.2316000000000003</v>
      </c>
      <c r="AC91" s="673" t="s">
        <v>912</v>
      </c>
    </row>
    <row r="92" spans="1:32">
      <c r="A92" s="673">
        <v>77</v>
      </c>
      <c r="C92" s="688" t="s">
        <v>958</v>
      </c>
      <c r="D92" s="689"/>
      <c r="E92" s="690" t="s">
        <v>912</v>
      </c>
      <c r="F92" s="690"/>
      <c r="G92" s="690" t="s">
        <v>962</v>
      </c>
      <c r="H92" s="689"/>
      <c r="I92" s="691" t="s">
        <v>964</v>
      </c>
      <c r="J92" s="689"/>
      <c r="K92" s="692"/>
      <c r="L92" s="689"/>
      <c r="M92" s="694">
        <v>8400</v>
      </c>
      <c r="N92" s="689"/>
      <c r="O92" s="695">
        <v>10.0375</v>
      </c>
      <c r="P92" s="689"/>
      <c r="Q92" s="696">
        <f t="shared" si="16"/>
        <v>0</v>
      </c>
      <c r="R92" s="689"/>
      <c r="S92" s="697">
        <v>0</v>
      </c>
      <c r="T92" s="689"/>
      <c r="U92" s="698">
        <f t="shared" si="17"/>
        <v>0</v>
      </c>
      <c r="V92" s="689"/>
      <c r="W92" s="696">
        <f t="shared" si="18"/>
        <v>0</v>
      </c>
      <c r="Y92" s="699">
        <v>1.4E-3</v>
      </c>
      <c r="AA92" s="663">
        <f t="shared" si="19"/>
        <v>11.76</v>
      </c>
      <c r="AC92" s="673" t="s">
        <v>912</v>
      </c>
    </row>
    <row r="93" spans="1:32">
      <c r="A93" s="673">
        <v>78</v>
      </c>
      <c r="C93" s="688" t="s">
        <v>948</v>
      </c>
      <c r="D93" s="689"/>
      <c r="E93" s="690" t="s">
        <v>912</v>
      </c>
      <c r="F93" s="690"/>
      <c r="G93" s="690" t="s">
        <v>962</v>
      </c>
      <c r="H93" s="689"/>
      <c r="I93" s="691" t="s">
        <v>963</v>
      </c>
      <c r="J93" s="689"/>
      <c r="K93" s="692"/>
      <c r="L93" s="689"/>
      <c r="M93" s="694">
        <v>5600</v>
      </c>
      <c r="N93" s="689"/>
      <c r="O93" s="695">
        <v>10.0375</v>
      </c>
      <c r="P93" s="689"/>
      <c r="Q93" s="696">
        <f t="shared" si="16"/>
        <v>0</v>
      </c>
      <c r="R93" s="689"/>
      <c r="S93" s="697">
        <v>0</v>
      </c>
      <c r="T93" s="689"/>
      <c r="U93" s="698">
        <f t="shared" si="17"/>
        <v>0</v>
      </c>
      <c r="V93" s="689"/>
      <c r="W93" s="696">
        <f t="shared" si="18"/>
        <v>0</v>
      </c>
      <c r="Y93" s="699">
        <v>1.4E-3</v>
      </c>
      <c r="AA93" s="663">
        <f t="shared" si="19"/>
        <v>7.84</v>
      </c>
      <c r="AC93" s="673" t="s">
        <v>912</v>
      </c>
    </row>
    <row r="94" spans="1:32">
      <c r="A94" s="673">
        <v>79</v>
      </c>
      <c r="C94" s="688" t="s">
        <v>972</v>
      </c>
      <c r="D94" s="689"/>
      <c r="E94" s="690" t="s">
        <v>912</v>
      </c>
      <c r="F94" s="690"/>
      <c r="G94" s="690" t="s">
        <v>970</v>
      </c>
      <c r="H94" s="689"/>
      <c r="I94" s="691" t="s">
        <v>973</v>
      </c>
      <c r="J94" s="689"/>
      <c r="K94" s="692">
        <v>150</v>
      </c>
      <c r="L94" s="689"/>
      <c r="M94" s="694">
        <v>0</v>
      </c>
      <c r="N94" s="689"/>
      <c r="O94" s="695">
        <v>10.0375</v>
      </c>
      <c r="P94" s="689"/>
      <c r="Q94" s="696">
        <f t="shared" si="16"/>
        <v>1505.625</v>
      </c>
      <c r="R94" s="689"/>
      <c r="S94" s="697">
        <v>0</v>
      </c>
      <c r="T94" s="689"/>
      <c r="U94" s="698">
        <f t="shared" si="17"/>
        <v>0</v>
      </c>
      <c r="V94" s="689"/>
      <c r="W94" s="696">
        <f t="shared" si="18"/>
        <v>1505.625</v>
      </c>
      <c r="Y94" s="699">
        <v>1.4E-3</v>
      </c>
      <c r="AA94" s="663">
        <f t="shared" si="19"/>
        <v>0</v>
      </c>
      <c r="AC94" s="673" t="s">
        <v>912</v>
      </c>
    </row>
    <row r="95" spans="1:32">
      <c r="A95" s="673">
        <v>80</v>
      </c>
      <c r="C95" s="688" t="s">
        <v>974</v>
      </c>
      <c r="D95" s="689"/>
      <c r="E95" s="690" t="s">
        <v>912</v>
      </c>
      <c r="F95" s="690"/>
      <c r="G95" s="690" t="s">
        <v>970</v>
      </c>
      <c r="H95" s="689"/>
      <c r="I95" s="691" t="s">
        <v>975</v>
      </c>
      <c r="J95" s="689"/>
      <c r="K95" s="707">
        <v>20000</v>
      </c>
      <c r="L95" s="689"/>
      <c r="M95" s="694">
        <v>0</v>
      </c>
      <c r="N95" s="689"/>
      <c r="O95" s="695">
        <v>10.0375</v>
      </c>
      <c r="P95" s="689"/>
      <c r="Q95" s="696">
        <f t="shared" si="16"/>
        <v>200750</v>
      </c>
      <c r="R95" s="689"/>
      <c r="S95" s="697">
        <v>0</v>
      </c>
      <c r="T95" s="689"/>
      <c r="U95" s="698">
        <f t="shared" si="17"/>
        <v>0</v>
      </c>
      <c r="V95" s="689"/>
      <c r="W95" s="696">
        <f t="shared" si="18"/>
        <v>200750</v>
      </c>
      <c r="Y95" s="699">
        <v>1.4E-3</v>
      </c>
      <c r="AA95" s="663">
        <f t="shared" si="19"/>
        <v>0</v>
      </c>
      <c r="AC95" s="673" t="s">
        <v>912</v>
      </c>
    </row>
    <row r="96" spans="1:32">
      <c r="A96" s="673">
        <v>81</v>
      </c>
      <c r="C96" s="688" t="s">
        <v>969</v>
      </c>
      <c r="D96" s="689"/>
      <c r="E96" s="690" t="s">
        <v>912</v>
      </c>
      <c r="F96" s="690"/>
      <c r="G96" s="690" t="s">
        <v>970</v>
      </c>
      <c r="H96" s="689"/>
      <c r="I96" s="691" t="s">
        <v>971</v>
      </c>
      <c r="J96" s="689"/>
      <c r="K96" s="692">
        <v>500</v>
      </c>
      <c r="L96" s="689"/>
      <c r="M96" s="694">
        <v>0</v>
      </c>
      <c r="N96" s="689"/>
      <c r="O96" s="695">
        <v>10.0375</v>
      </c>
      <c r="P96" s="689"/>
      <c r="Q96" s="696">
        <f t="shared" si="16"/>
        <v>5018.75</v>
      </c>
      <c r="R96" s="689"/>
      <c r="S96" s="697">
        <v>0</v>
      </c>
      <c r="T96" s="689"/>
      <c r="U96" s="698">
        <f t="shared" si="17"/>
        <v>0</v>
      </c>
      <c r="V96" s="689"/>
      <c r="W96" s="696">
        <f t="shared" si="18"/>
        <v>5018.75</v>
      </c>
      <c r="Y96" s="699">
        <v>1.4E-3</v>
      </c>
      <c r="AA96" s="663">
        <f t="shared" si="19"/>
        <v>0</v>
      </c>
      <c r="AC96" s="673" t="s">
        <v>912</v>
      </c>
    </row>
    <row r="97" spans="1:29">
      <c r="A97" s="673">
        <v>82</v>
      </c>
      <c r="C97" s="700" t="s">
        <v>976</v>
      </c>
      <c r="D97" s="689"/>
      <c r="E97" s="690"/>
      <c r="F97" s="690"/>
      <c r="G97" s="690"/>
      <c r="H97" s="689"/>
      <c r="I97" s="690"/>
      <c r="J97" s="689"/>
      <c r="K97" s="701">
        <f>SUM(K89:K96)</f>
        <v>20650</v>
      </c>
      <c r="L97" s="689"/>
      <c r="M97" s="702">
        <f>SUM(M89:M96)</f>
        <v>181840</v>
      </c>
      <c r="N97" s="689"/>
      <c r="O97" s="689"/>
      <c r="P97" s="689"/>
      <c r="Q97" s="703">
        <f>SUM(Q89:Q96)</f>
        <v>207274.375</v>
      </c>
      <c r="R97" s="689"/>
      <c r="S97" s="689"/>
      <c r="T97" s="689"/>
      <c r="U97" s="703">
        <f>SUM(U89:U96)</f>
        <v>0</v>
      </c>
      <c r="V97" s="689"/>
      <c r="W97" s="703">
        <f>SUM(W89:W96)</f>
        <v>207274.375</v>
      </c>
      <c r="AA97" s="703">
        <f>SUM(AA89:AA96)</f>
        <v>254.57599999999999</v>
      </c>
    </row>
    <row r="98" spans="1:29">
      <c r="C98" s="700" t="s">
        <v>877</v>
      </c>
      <c r="D98" s="689"/>
      <c r="E98" s="690"/>
      <c r="F98" s="690"/>
      <c r="G98" s="690"/>
      <c r="H98" s="689"/>
      <c r="I98" s="690"/>
      <c r="J98" s="689"/>
      <c r="K98" s="707"/>
      <c r="L98" s="689"/>
      <c r="M98" s="693"/>
      <c r="N98" s="689"/>
      <c r="O98" s="689"/>
      <c r="P98" s="689"/>
      <c r="Q98" s="689"/>
      <c r="R98" s="689"/>
      <c r="S98" s="689"/>
      <c r="T98" s="689"/>
      <c r="U98" s="689"/>
      <c r="V98" s="689"/>
      <c r="W98" s="689"/>
    </row>
    <row r="99" spans="1:29">
      <c r="A99" s="673">
        <v>83</v>
      </c>
      <c r="C99" s="688" t="s">
        <v>932</v>
      </c>
      <c r="D99" s="689"/>
      <c r="E99" s="690" t="s">
        <v>912</v>
      </c>
      <c r="F99" s="690"/>
      <c r="G99" s="690" t="s">
        <v>977</v>
      </c>
      <c r="H99" s="689"/>
      <c r="I99" s="691" t="s">
        <v>978</v>
      </c>
      <c r="J99" s="689"/>
      <c r="K99" s="707">
        <v>0</v>
      </c>
      <c r="L99" s="689"/>
      <c r="M99" s="694">
        <v>45472</v>
      </c>
      <c r="N99" s="689"/>
      <c r="O99" s="695">
        <v>0</v>
      </c>
      <c r="P99" s="689"/>
      <c r="Q99" s="696">
        <f t="shared" ref="Q99:Q101" si="20">K99*O99</f>
        <v>0</v>
      </c>
      <c r="R99" s="689"/>
      <c r="S99" s="709">
        <v>0.33</v>
      </c>
      <c r="T99" s="689"/>
      <c r="U99" s="696">
        <f>S99*M99</f>
        <v>15005.76</v>
      </c>
      <c r="V99" s="689"/>
      <c r="W99" s="696">
        <f t="shared" ref="W99:W101" si="21">U99+Q99</f>
        <v>15005.76</v>
      </c>
      <c r="Y99" s="699">
        <v>1.4E-3</v>
      </c>
      <c r="AA99" s="663">
        <f t="shared" ref="AA99:AA101" si="22">Y99*M99</f>
        <v>63.660800000000002</v>
      </c>
      <c r="AC99" s="673" t="s">
        <v>912</v>
      </c>
    </row>
    <row r="100" spans="1:29">
      <c r="A100" s="673">
        <v>84</v>
      </c>
      <c r="C100" s="688" t="s">
        <v>980</v>
      </c>
      <c r="D100" s="689"/>
      <c r="E100" s="690" t="s">
        <v>912</v>
      </c>
      <c r="F100" s="690"/>
      <c r="G100" s="690" t="s">
        <v>977</v>
      </c>
      <c r="H100" s="689"/>
      <c r="I100" s="691" t="s">
        <v>981</v>
      </c>
      <c r="J100" s="689"/>
      <c r="K100" s="707">
        <v>0</v>
      </c>
      <c r="L100" s="689"/>
      <c r="M100" s="694">
        <v>9800</v>
      </c>
      <c r="N100" s="689"/>
      <c r="O100" s="695">
        <v>0</v>
      </c>
      <c r="P100" s="689"/>
      <c r="Q100" s="696">
        <f t="shared" si="20"/>
        <v>0</v>
      </c>
      <c r="R100" s="689"/>
      <c r="S100" s="709">
        <v>0.33</v>
      </c>
      <c r="T100" s="689"/>
      <c r="U100" s="696">
        <f t="shared" ref="U100:U101" si="23">S100*M100</f>
        <v>3234</v>
      </c>
      <c r="V100" s="689"/>
      <c r="W100" s="696">
        <f t="shared" si="21"/>
        <v>3234</v>
      </c>
      <c r="Y100" s="699">
        <v>1.4E-3</v>
      </c>
      <c r="AA100" s="663">
        <f t="shared" si="22"/>
        <v>13.72</v>
      </c>
      <c r="AC100" s="673" t="s">
        <v>912</v>
      </c>
    </row>
    <row r="101" spans="1:29">
      <c r="A101" s="673">
        <v>85</v>
      </c>
      <c r="C101" s="688" t="s">
        <v>942</v>
      </c>
      <c r="D101" s="689"/>
      <c r="E101" s="690" t="s">
        <v>912</v>
      </c>
      <c r="F101" s="690"/>
      <c r="G101" s="690" t="s">
        <v>977</v>
      </c>
      <c r="H101" s="689"/>
      <c r="I101" s="691" t="s">
        <v>984</v>
      </c>
      <c r="J101" s="689"/>
      <c r="K101" s="707">
        <v>0</v>
      </c>
      <c r="L101" s="689"/>
      <c r="M101" s="694">
        <v>190</v>
      </c>
      <c r="N101" s="689"/>
      <c r="O101" s="695">
        <v>0</v>
      </c>
      <c r="P101" s="689"/>
      <c r="Q101" s="696">
        <f t="shared" si="20"/>
        <v>0</v>
      </c>
      <c r="R101" s="689"/>
      <c r="S101" s="709">
        <v>0.33</v>
      </c>
      <c r="T101" s="689"/>
      <c r="U101" s="696">
        <f t="shared" si="23"/>
        <v>62.7</v>
      </c>
      <c r="V101" s="689"/>
      <c r="W101" s="696">
        <f t="shared" si="21"/>
        <v>62.7</v>
      </c>
      <c r="Y101" s="699">
        <v>1.4E-3</v>
      </c>
      <c r="AA101" s="663">
        <f t="shared" si="22"/>
        <v>0.26600000000000001</v>
      </c>
      <c r="AC101" s="673" t="s">
        <v>912</v>
      </c>
    </row>
    <row r="102" spans="1:29">
      <c r="A102" s="673">
        <v>86</v>
      </c>
      <c r="C102" s="700" t="s">
        <v>982</v>
      </c>
      <c r="D102" s="689"/>
      <c r="E102" s="690"/>
      <c r="F102" s="690"/>
      <c r="G102" s="690"/>
      <c r="H102" s="689"/>
      <c r="I102" s="690"/>
      <c r="J102" s="689"/>
      <c r="K102" s="701">
        <f>SUM(K99:K101)</f>
        <v>0</v>
      </c>
      <c r="L102" s="689"/>
      <c r="M102" s="702">
        <f>SUM(M99:M101)</f>
        <v>55462</v>
      </c>
      <c r="N102" s="689"/>
      <c r="O102" s="689"/>
      <c r="P102" s="689"/>
      <c r="Q102" s="703">
        <f>SUM(Q99:Q101)</f>
        <v>0</v>
      </c>
      <c r="R102" s="689"/>
      <c r="S102" s="689"/>
      <c r="T102" s="689"/>
      <c r="U102" s="703">
        <f>SUM(U99:U101)</f>
        <v>18302.460000000003</v>
      </c>
      <c r="V102" s="689"/>
      <c r="W102" s="703">
        <f>SUM(W99:W101)</f>
        <v>18302.460000000003</v>
      </c>
      <c r="AA102" s="703">
        <f>SUM(AA99:AA101)</f>
        <v>77.646800000000013</v>
      </c>
    </row>
    <row r="103" spans="1:29">
      <c r="C103" s="689"/>
      <c r="D103" s="689"/>
      <c r="E103" s="690"/>
      <c r="F103" s="690"/>
      <c r="G103" s="690"/>
      <c r="H103" s="689"/>
      <c r="I103" s="690"/>
      <c r="J103" s="689"/>
      <c r="K103" s="707"/>
      <c r="L103" s="689"/>
      <c r="M103" s="693"/>
      <c r="N103" s="689"/>
      <c r="O103" s="689"/>
      <c r="P103" s="689"/>
      <c r="Q103" s="689"/>
      <c r="R103" s="689"/>
      <c r="S103" s="689"/>
      <c r="T103" s="689"/>
      <c r="U103" s="689"/>
      <c r="V103" s="689"/>
      <c r="W103" s="689"/>
    </row>
    <row r="104" spans="1:29">
      <c r="C104" s="677" t="s">
        <v>985</v>
      </c>
      <c r="D104" s="677"/>
      <c r="E104" s="678"/>
      <c r="F104" s="678"/>
      <c r="G104" s="678"/>
      <c r="H104" s="677"/>
      <c r="I104" s="678"/>
      <c r="J104" s="677"/>
      <c r="K104" s="679"/>
      <c r="L104" s="677"/>
      <c r="M104" s="680"/>
      <c r="N104" s="677"/>
      <c r="O104" s="677"/>
      <c r="P104" s="677"/>
      <c r="Q104" s="677"/>
      <c r="R104" s="677"/>
      <c r="S104" s="677"/>
      <c r="T104" s="677"/>
      <c r="U104" s="677"/>
      <c r="V104" s="677"/>
      <c r="W104" s="677"/>
      <c r="X104" s="677"/>
      <c r="Y104" s="677"/>
      <c r="Z104" s="677"/>
      <c r="AA104" s="677"/>
      <c r="AB104" s="677"/>
      <c r="AC104" s="677"/>
    </row>
    <row r="105" spans="1:29" s="682" customFormat="1">
      <c r="A105" s="673"/>
      <c r="C105" s="683" t="s">
        <v>876</v>
      </c>
      <c r="D105" s="684"/>
      <c r="E105" s="685"/>
      <c r="F105" s="685"/>
      <c r="G105" s="685"/>
      <c r="H105" s="684"/>
      <c r="I105" s="685"/>
      <c r="J105" s="684"/>
      <c r="K105" s="686"/>
      <c r="L105" s="684"/>
      <c r="M105" s="687"/>
      <c r="N105" s="684"/>
      <c r="O105" s="684"/>
      <c r="P105" s="684"/>
      <c r="Q105" s="684"/>
      <c r="R105" s="684"/>
      <c r="S105" s="684"/>
      <c r="T105" s="684"/>
      <c r="U105" s="684"/>
      <c r="V105" s="684"/>
      <c r="W105" s="684"/>
      <c r="X105" s="684"/>
      <c r="Y105" s="684"/>
      <c r="Z105" s="684"/>
      <c r="AA105" s="684"/>
      <c r="AB105" s="684"/>
      <c r="AC105" s="684"/>
    </row>
    <row r="106" spans="1:29">
      <c r="A106" s="673">
        <v>87</v>
      </c>
      <c r="C106" s="688" t="s">
        <v>911</v>
      </c>
      <c r="D106" s="689"/>
      <c r="E106" s="690" t="s">
        <v>912</v>
      </c>
      <c r="F106" s="690"/>
      <c r="G106" s="690" t="s">
        <v>913</v>
      </c>
      <c r="H106" s="689"/>
      <c r="I106" s="691" t="s">
        <v>914</v>
      </c>
      <c r="J106" s="689"/>
      <c r="K106" s="692">
        <v>105750</v>
      </c>
      <c r="L106" s="689"/>
      <c r="M106" s="694">
        <v>1005115</v>
      </c>
      <c r="N106" s="689"/>
      <c r="O106" s="695">
        <v>10.0375</v>
      </c>
      <c r="P106" s="689"/>
      <c r="Q106" s="696">
        <f t="shared" ref="Q106:Q134" si="24">K106*O106</f>
        <v>1061465.625</v>
      </c>
      <c r="R106" s="689"/>
      <c r="S106" s="697">
        <v>0</v>
      </c>
      <c r="T106" s="689"/>
      <c r="U106" s="698">
        <f t="shared" ref="U106:U134" si="25">S106*M106</f>
        <v>0</v>
      </c>
      <c r="V106" s="689"/>
      <c r="W106" s="696">
        <f t="shared" ref="W106:W134" si="26">U106+Q106</f>
        <v>1061465.625</v>
      </c>
      <c r="Y106" s="699">
        <v>1.4E-3</v>
      </c>
      <c r="AA106" s="663">
        <f t="shared" ref="AA106:AA134" si="27">Y106*M106</f>
        <v>1407.1610000000001</v>
      </c>
      <c r="AC106" s="673" t="s">
        <v>912</v>
      </c>
    </row>
    <row r="107" spans="1:29">
      <c r="A107" s="673">
        <v>88</v>
      </c>
      <c r="C107" s="688" t="s">
        <v>915</v>
      </c>
      <c r="D107" s="689"/>
      <c r="E107" s="690" t="s">
        <v>912</v>
      </c>
      <c r="F107" s="690"/>
      <c r="G107" s="690" t="s">
        <v>913</v>
      </c>
      <c r="H107" s="689"/>
      <c r="I107" s="691" t="s">
        <v>916</v>
      </c>
      <c r="J107" s="689"/>
      <c r="K107" s="692">
        <v>200</v>
      </c>
      <c r="L107" s="689"/>
      <c r="M107" s="694">
        <v>899</v>
      </c>
      <c r="N107" s="689"/>
      <c r="O107" s="695">
        <v>10.0375</v>
      </c>
      <c r="P107" s="689"/>
      <c r="Q107" s="696">
        <f t="shared" si="24"/>
        <v>2007.5</v>
      </c>
      <c r="R107" s="689"/>
      <c r="S107" s="697">
        <v>0</v>
      </c>
      <c r="T107" s="689"/>
      <c r="U107" s="698">
        <f t="shared" si="25"/>
        <v>0</v>
      </c>
      <c r="V107" s="689"/>
      <c r="W107" s="696">
        <f t="shared" si="26"/>
        <v>2007.5</v>
      </c>
      <c r="Y107" s="699">
        <v>1.4E-3</v>
      </c>
      <c r="AA107" s="663">
        <f t="shared" si="27"/>
        <v>1.2585999999999999</v>
      </c>
      <c r="AC107" s="673" t="s">
        <v>912</v>
      </c>
    </row>
    <row r="108" spans="1:29">
      <c r="A108" s="673">
        <v>89</v>
      </c>
      <c r="C108" s="688" t="s">
        <v>917</v>
      </c>
      <c r="D108" s="689"/>
      <c r="E108" s="690" t="s">
        <v>912</v>
      </c>
      <c r="F108" s="690"/>
      <c r="G108" s="690" t="s">
        <v>913</v>
      </c>
      <c r="H108" s="689"/>
      <c r="I108" s="691" t="s">
        <v>918</v>
      </c>
      <c r="J108" s="689"/>
      <c r="K108" s="692">
        <v>1200</v>
      </c>
      <c r="L108" s="689"/>
      <c r="M108" s="694">
        <v>6107</v>
      </c>
      <c r="N108" s="689"/>
      <c r="O108" s="695">
        <v>10.0375</v>
      </c>
      <c r="P108" s="689"/>
      <c r="Q108" s="696">
        <f t="shared" si="24"/>
        <v>12045</v>
      </c>
      <c r="R108" s="689"/>
      <c r="S108" s="697">
        <v>0</v>
      </c>
      <c r="T108" s="689"/>
      <c r="U108" s="698">
        <f t="shared" si="25"/>
        <v>0</v>
      </c>
      <c r="V108" s="689"/>
      <c r="W108" s="696">
        <f t="shared" si="26"/>
        <v>12045</v>
      </c>
      <c r="Y108" s="699">
        <v>1.4E-3</v>
      </c>
      <c r="AA108" s="663">
        <f t="shared" si="27"/>
        <v>8.5497999999999994</v>
      </c>
      <c r="AC108" s="673" t="s">
        <v>912</v>
      </c>
    </row>
    <row r="109" spans="1:29">
      <c r="A109" s="673">
        <v>90</v>
      </c>
      <c r="C109" s="688" t="s">
        <v>919</v>
      </c>
      <c r="D109" s="689"/>
      <c r="E109" s="690" t="s">
        <v>912</v>
      </c>
      <c r="F109" s="690"/>
      <c r="G109" s="690" t="s">
        <v>913</v>
      </c>
      <c r="H109" s="689"/>
      <c r="I109" s="691" t="s">
        <v>920</v>
      </c>
      <c r="J109" s="689"/>
      <c r="K109" s="692">
        <v>1550</v>
      </c>
      <c r="L109" s="689"/>
      <c r="M109" s="694">
        <v>0</v>
      </c>
      <c r="N109" s="689"/>
      <c r="O109" s="695">
        <v>10.0375</v>
      </c>
      <c r="P109" s="689"/>
      <c r="Q109" s="696">
        <f t="shared" si="24"/>
        <v>15558.125</v>
      </c>
      <c r="R109" s="689"/>
      <c r="S109" s="697">
        <v>0</v>
      </c>
      <c r="T109" s="689"/>
      <c r="U109" s="698">
        <f t="shared" si="25"/>
        <v>0</v>
      </c>
      <c r="V109" s="689"/>
      <c r="W109" s="696">
        <f t="shared" si="26"/>
        <v>15558.125</v>
      </c>
      <c r="Y109" s="699">
        <v>1.4E-3</v>
      </c>
      <c r="AA109" s="663">
        <f t="shared" si="27"/>
        <v>0</v>
      </c>
      <c r="AC109" s="673" t="s">
        <v>912</v>
      </c>
    </row>
    <row r="110" spans="1:29">
      <c r="A110" s="673">
        <v>91</v>
      </c>
      <c r="C110" s="688" t="s">
        <v>911</v>
      </c>
      <c r="D110" s="689"/>
      <c r="E110" s="690" t="s">
        <v>912</v>
      </c>
      <c r="F110" s="690"/>
      <c r="G110" s="690" t="s">
        <v>913</v>
      </c>
      <c r="H110" s="689"/>
      <c r="I110" s="691" t="s">
        <v>921</v>
      </c>
      <c r="J110" s="689"/>
      <c r="K110" s="692">
        <v>10000</v>
      </c>
      <c r="L110" s="689"/>
      <c r="M110" s="694">
        <v>304730</v>
      </c>
      <c r="N110" s="689"/>
      <c r="O110" s="695">
        <v>10.0375</v>
      </c>
      <c r="P110" s="689"/>
      <c r="Q110" s="696">
        <f t="shared" si="24"/>
        <v>100375</v>
      </c>
      <c r="R110" s="689"/>
      <c r="S110" s="697">
        <v>0</v>
      </c>
      <c r="T110" s="689"/>
      <c r="U110" s="698">
        <f t="shared" si="25"/>
        <v>0</v>
      </c>
      <c r="V110" s="689"/>
      <c r="W110" s="696">
        <f t="shared" si="26"/>
        <v>100375</v>
      </c>
      <c r="Y110" s="699">
        <v>1.4E-3</v>
      </c>
      <c r="AA110" s="663">
        <f t="shared" si="27"/>
        <v>426.62200000000001</v>
      </c>
      <c r="AC110" s="673" t="s">
        <v>912</v>
      </c>
    </row>
    <row r="111" spans="1:29">
      <c r="A111" s="673">
        <v>92</v>
      </c>
      <c r="C111" s="688" t="s">
        <v>922</v>
      </c>
      <c r="D111" s="689"/>
      <c r="E111" s="690" t="s">
        <v>912</v>
      </c>
      <c r="F111" s="690"/>
      <c r="G111" s="690" t="s">
        <v>913</v>
      </c>
      <c r="H111" s="689"/>
      <c r="I111" s="691" t="s">
        <v>923</v>
      </c>
      <c r="J111" s="689"/>
      <c r="K111" s="692">
        <v>200</v>
      </c>
      <c r="L111" s="689"/>
      <c r="M111" s="694">
        <v>2561</v>
      </c>
      <c r="N111" s="689"/>
      <c r="O111" s="695">
        <v>10.0375</v>
      </c>
      <c r="P111" s="689"/>
      <c r="Q111" s="696">
        <f t="shared" si="24"/>
        <v>2007.5</v>
      </c>
      <c r="R111" s="689"/>
      <c r="S111" s="697">
        <v>0</v>
      </c>
      <c r="T111" s="689"/>
      <c r="U111" s="698">
        <f t="shared" si="25"/>
        <v>0</v>
      </c>
      <c r="V111" s="689"/>
      <c r="W111" s="696">
        <f t="shared" si="26"/>
        <v>2007.5</v>
      </c>
      <c r="Y111" s="699">
        <v>1.4E-3</v>
      </c>
      <c r="AA111" s="663">
        <f t="shared" si="27"/>
        <v>3.5853999999999999</v>
      </c>
      <c r="AC111" s="673" t="s">
        <v>912</v>
      </c>
    </row>
    <row r="112" spans="1:29">
      <c r="A112" s="673">
        <v>93</v>
      </c>
      <c r="C112" s="688" t="s">
        <v>924</v>
      </c>
      <c r="D112" s="689"/>
      <c r="E112" s="690" t="s">
        <v>912</v>
      </c>
      <c r="F112" s="690"/>
      <c r="G112" s="690" t="s">
        <v>913</v>
      </c>
      <c r="H112" s="689"/>
      <c r="I112" s="691" t="s">
        <v>925</v>
      </c>
      <c r="J112" s="689"/>
      <c r="K112" s="692">
        <v>550</v>
      </c>
      <c r="L112" s="689"/>
      <c r="M112" s="694">
        <v>12988</v>
      </c>
      <c r="N112" s="689"/>
      <c r="O112" s="695">
        <v>10.0375</v>
      </c>
      <c r="P112" s="689"/>
      <c r="Q112" s="696">
        <f t="shared" si="24"/>
        <v>5520.625</v>
      </c>
      <c r="R112" s="689"/>
      <c r="S112" s="697">
        <v>0</v>
      </c>
      <c r="T112" s="689"/>
      <c r="U112" s="698">
        <f t="shared" si="25"/>
        <v>0</v>
      </c>
      <c r="V112" s="689"/>
      <c r="W112" s="696">
        <f t="shared" si="26"/>
        <v>5520.625</v>
      </c>
      <c r="Y112" s="699">
        <v>1.4E-3</v>
      </c>
      <c r="AA112" s="663">
        <f t="shared" si="27"/>
        <v>18.183199999999999</v>
      </c>
      <c r="AC112" s="673" t="s">
        <v>912</v>
      </c>
    </row>
    <row r="113" spans="1:29">
      <c r="A113" s="673">
        <v>94</v>
      </c>
      <c r="C113" s="688" t="s">
        <v>911</v>
      </c>
      <c r="D113" s="689"/>
      <c r="E113" s="690" t="s">
        <v>912</v>
      </c>
      <c r="F113" s="690"/>
      <c r="G113" s="690" t="s">
        <v>913</v>
      </c>
      <c r="H113" s="689"/>
      <c r="I113" s="691" t="s">
        <v>926</v>
      </c>
      <c r="J113" s="689"/>
      <c r="K113" s="692">
        <v>5661</v>
      </c>
      <c r="L113" s="689"/>
      <c r="M113" s="694">
        <v>172515</v>
      </c>
      <c r="N113" s="689"/>
      <c r="O113" s="695">
        <v>10.0375</v>
      </c>
      <c r="P113" s="689"/>
      <c r="Q113" s="696">
        <f t="shared" si="24"/>
        <v>56822.287499999999</v>
      </c>
      <c r="R113" s="689"/>
      <c r="S113" s="697">
        <v>0</v>
      </c>
      <c r="T113" s="689"/>
      <c r="U113" s="698">
        <f t="shared" si="25"/>
        <v>0</v>
      </c>
      <c r="V113" s="689"/>
      <c r="W113" s="696">
        <f t="shared" si="26"/>
        <v>56822.287499999999</v>
      </c>
      <c r="Y113" s="699">
        <v>1.4E-3</v>
      </c>
      <c r="AA113" s="663">
        <f t="shared" si="27"/>
        <v>241.52099999999999</v>
      </c>
      <c r="AC113" s="673" t="s">
        <v>912</v>
      </c>
    </row>
    <row r="114" spans="1:29">
      <c r="A114" s="673">
        <v>95</v>
      </c>
      <c r="C114" s="688" t="s">
        <v>911</v>
      </c>
      <c r="D114" s="689"/>
      <c r="E114" s="690" t="s">
        <v>912</v>
      </c>
      <c r="F114" s="690"/>
      <c r="G114" s="690" t="s">
        <v>913</v>
      </c>
      <c r="H114" s="689"/>
      <c r="I114" s="691" t="s">
        <v>927</v>
      </c>
      <c r="J114" s="689"/>
      <c r="K114" s="692">
        <v>5690</v>
      </c>
      <c r="L114" s="689"/>
      <c r="M114" s="694">
        <v>173383</v>
      </c>
      <c r="N114" s="689"/>
      <c r="O114" s="695">
        <v>10.0375</v>
      </c>
      <c r="P114" s="689"/>
      <c r="Q114" s="696">
        <f t="shared" si="24"/>
        <v>57113.375</v>
      </c>
      <c r="R114" s="689"/>
      <c r="S114" s="697">
        <v>0</v>
      </c>
      <c r="T114" s="689"/>
      <c r="U114" s="698">
        <f t="shared" si="25"/>
        <v>0</v>
      </c>
      <c r="V114" s="689"/>
      <c r="W114" s="696">
        <f t="shared" si="26"/>
        <v>57113.375</v>
      </c>
      <c r="Y114" s="699">
        <v>1.4E-3</v>
      </c>
      <c r="AA114" s="663">
        <f t="shared" si="27"/>
        <v>242.7362</v>
      </c>
      <c r="AC114" s="673" t="s">
        <v>912</v>
      </c>
    </row>
    <row r="115" spans="1:29">
      <c r="A115" s="673">
        <v>96</v>
      </c>
      <c r="C115" s="688" t="s">
        <v>928</v>
      </c>
      <c r="D115" s="689"/>
      <c r="E115" s="690" t="s">
        <v>912</v>
      </c>
      <c r="F115" s="690"/>
      <c r="G115" s="690" t="s">
        <v>913</v>
      </c>
      <c r="H115" s="689"/>
      <c r="I115" s="691" t="s">
        <v>929</v>
      </c>
      <c r="J115" s="689"/>
      <c r="K115" s="692">
        <v>8000</v>
      </c>
      <c r="L115" s="689"/>
      <c r="M115" s="694">
        <v>228560</v>
      </c>
      <c r="N115" s="689"/>
      <c r="O115" s="695">
        <v>10.0375</v>
      </c>
      <c r="P115" s="689"/>
      <c r="Q115" s="696">
        <f t="shared" si="24"/>
        <v>80300</v>
      </c>
      <c r="R115" s="689"/>
      <c r="S115" s="697">
        <v>0</v>
      </c>
      <c r="T115" s="689"/>
      <c r="U115" s="698">
        <f t="shared" si="25"/>
        <v>0</v>
      </c>
      <c r="V115" s="689"/>
      <c r="W115" s="696">
        <f t="shared" si="26"/>
        <v>80300</v>
      </c>
      <c r="Y115" s="699">
        <v>1.4E-3</v>
      </c>
      <c r="AA115" s="663">
        <f t="shared" si="27"/>
        <v>319.98399999999998</v>
      </c>
      <c r="AC115" s="673" t="s">
        <v>912</v>
      </c>
    </row>
    <row r="116" spans="1:29">
      <c r="A116" s="673">
        <v>97</v>
      </c>
      <c r="C116" s="688" t="s">
        <v>928</v>
      </c>
      <c r="D116" s="689"/>
      <c r="E116" s="690" t="s">
        <v>912</v>
      </c>
      <c r="F116" s="690"/>
      <c r="G116" s="690" t="s">
        <v>913</v>
      </c>
      <c r="H116" s="689"/>
      <c r="I116" s="691" t="s">
        <v>930</v>
      </c>
      <c r="J116" s="689"/>
      <c r="K116" s="692">
        <v>16500</v>
      </c>
      <c r="L116" s="689"/>
      <c r="M116" s="694">
        <v>76198</v>
      </c>
      <c r="N116" s="689"/>
      <c r="O116" s="695">
        <v>10.0375</v>
      </c>
      <c r="P116" s="689"/>
      <c r="Q116" s="696">
        <f t="shared" si="24"/>
        <v>165618.75</v>
      </c>
      <c r="R116" s="689"/>
      <c r="S116" s="697">
        <v>0</v>
      </c>
      <c r="T116" s="689"/>
      <c r="U116" s="698">
        <f t="shared" si="25"/>
        <v>0</v>
      </c>
      <c r="V116" s="689"/>
      <c r="W116" s="696">
        <f t="shared" si="26"/>
        <v>165618.75</v>
      </c>
      <c r="Y116" s="699">
        <v>1.4E-3</v>
      </c>
      <c r="AA116" s="663">
        <f t="shared" si="27"/>
        <v>106.6772</v>
      </c>
      <c r="AC116" s="673" t="s">
        <v>912</v>
      </c>
    </row>
    <row r="117" spans="1:29">
      <c r="A117" s="673">
        <v>98</v>
      </c>
      <c r="C117" s="688" t="s">
        <v>911</v>
      </c>
      <c r="D117" s="689"/>
      <c r="E117" s="690" t="s">
        <v>912</v>
      </c>
      <c r="F117" s="690"/>
      <c r="G117" s="690" t="s">
        <v>913</v>
      </c>
      <c r="H117" s="689"/>
      <c r="I117" s="691" t="s">
        <v>931</v>
      </c>
      <c r="J117" s="689"/>
      <c r="K117" s="692">
        <v>5722</v>
      </c>
      <c r="L117" s="689"/>
      <c r="M117" s="694">
        <v>174375</v>
      </c>
      <c r="N117" s="689"/>
      <c r="O117" s="695">
        <v>10.0375</v>
      </c>
      <c r="P117" s="689"/>
      <c r="Q117" s="696">
        <f t="shared" si="24"/>
        <v>57434.574999999997</v>
      </c>
      <c r="R117" s="689"/>
      <c r="S117" s="697">
        <v>0</v>
      </c>
      <c r="T117" s="689"/>
      <c r="U117" s="698">
        <f t="shared" si="25"/>
        <v>0</v>
      </c>
      <c r="V117" s="689"/>
      <c r="W117" s="696">
        <f t="shared" si="26"/>
        <v>57434.574999999997</v>
      </c>
      <c r="Y117" s="699">
        <v>1.4E-3</v>
      </c>
      <c r="AA117" s="663">
        <f t="shared" si="27"/>
        <v>244.125</v>
      </c>
      <c r="AC117" s="673" t="s">
        <v>912</v>
      </c>
    </row>
    <row r="118" spans="1:29">
      <c r="A118" s="673">
        <v>99</v>
      </c>
      <c r="C118" s="688" t="s">
        <v>932</v>
      </c>
      <c r="D118" s="689"/>
      <c r="E118" s="690" t="s">
        <v>912</v>
      </c>
      <c r="F118" s="690"/>
      <c r="G118" s="690" t="s">
        <v>913</v>
      </c>
      <c r="H118" s="689"/>
      <c r="I118" s="691" t="s">
        <v>933</v>
      </c>
      <c r="J118" s="689"/>
      <c r="K118" s="692">
        <v>760</v>
      </c>
      <c r="L118" s="689"/>
      <c r="M118" s="694">
        <v>23063</v>
      </c>
      <c r="N118" s="689"/>
      <c r="O118" s="695">
        <v>10.0375</v>
      </c>
      <c r="P118" s="689"/>
      <c r="Q118" s="696">
        <f t="shared" si="24"/>
        <v>7628.5</v>
      </c>
      <c r="R118" s="689"/>
      <c r="S118" s="697">
        <v>0</v>
      </c>
      <c r="T118" s="689"/>
      <c r="U118" s="698">
        <f t="shared" si="25"/>
        <v>0</v>
      </c>
      <c r="V118" s="689"/>
      <c r="W118" s="696">
        <f t="shared" si="26"/>
        <v>7628.5</v>
      </c>
      <c r="Y118" s="699">
        <v>1.4E-3</v>
      </c>
      <c r="AA118" s="663">
        <f t="shared" si="27"/>
        <v>32.288199999999996</v>
      </c>
      <c r="AC118" s="673" t="s">
        <v>912</v>
      </c>
    </row>
    <row r="119" spans="1:29">
      <c r="A119" s="673">
        <v>100</v>
      </c>
      <c r="C119" s="688" t="s">
        <v>922</v>
      </c>
      <c r="D119" s="689"/>
      <c r="E119" s="690" t="s">
        <v>912</v>
      </c>
      <c r="F119" s="690"/>
      <c r="G119" s="690" t="s">
        <v>913</v>
      </c>
      <c r="H119" s="689"/>
      <c r="I119" s="691" t="s">
        <v>934</v>
      </c>
      <c r="J119" s="689"/>
      <c r="K119" s="692">
        <v>150</v>
      </c>
      <c r="L119" s="689"/>
      <c r="M119" s="694">
        <v>1911</v>
      </c>
      <c r="N119" s="689"/>
      <c r="O119" s="695">
        <v>10.0375</v>
      </c>
      <c r="P119" s="689"/>
      <c r="Q119" s="696">
        <f t="shared" si="24"/>
        <v>1505.625</v>
      </c>
      <c r="R119" s="689"/>
      <c r="S119" s="697">
        <v>0</v>
      </c>
      <c r="T119" s="689"/>
      <c r="U119" s="698">
        <f t="shared" si="25"/>
        <v>0</v>
      </c>
      <c r="V119" s="689"/>
      <c r="W119" s="696">
        <f t="shared" si="26"/>
        <v>1505.625</v>
      </c>
      <c r="Y119" s="699">
        <v>1.4E-3</v>
      </c>
      <c r="AA119" s="663">
        <f t="shared" si="27"/>
        <v>2.6753999999999998</v>
      </c>
      <c r="AC119" s="673" t="s">
        <v>912</v>
      </c>
    </row>
    <row r="120" spans="1:29">
      <c r="A120" s="673">
        <v>101</v>
      </c>
      <c r="C120" s="688" t="s">
        <v>922</v>
      </c>
      <c r="D120" s="689"/>
      <c r="E120" s="690" t="s">
        <v>912</v>
      </c>
      <c r="F120" s="690"/>
      <c r="G120" s="690" t="s">
        <v>913</v>
      </c>
      <c r="H120" s="689"/>
      <c r="I120" s="691" t="s">
        <v>935</v>
      </c>
      <c r="J120" s="689"/>
      <c r="K120" s="692">
        <v>250</v>
      </c>
      <c r="L120" s="689"/>
      <c r="M120" s="694">
        <v>5124</v>
      </c>
      <c r="N120" s="689"/>
      <c r="O120" s="695">
        <v>10.0375</v>
      </c>
      <c r="P120" s="689"/>
      <c r="Q120" s="696">
        <f t="shared" si="24"/>
        <v>2509.375</v>
      </c>
      <c r="R120" s="689"/>
      <c r="S120" s="697">
        <v>0</v>
      </c>
      <c r="T120" s="689"/>
      <c r="U120" s="698">
        <f t="shared" si="25"/>
        <v>0</v>
      </c>
      <c r="V120" s="689"/>
      <c r="W120" s="696">
        <f t="shared" si="26"/>
        <v>2509.375</v>
      </c>
      <c r="Y120" s="699">
        <v>1.4E-3</v>
      </c>
      <c r="AA120" s="663">
        <f t="shared" si="27"/>
        <v>7.1735999999999995</v>
      </c>
      <c r="AC120" s="673" t="s">
        <v>912</v>
      </c>
    </row>
    <row r="121" spans="1:29">
      <c r="A121" s="673">
        <v>102</v>
      </c>
      <c r="C121" s="688" t="s">
        <v>922</v>
      </c>
      <c r="D121" s="689"/>
      <c r="E121" s="690" t="s">
        <v>912</v>
      </c>
      <c r="F121" s="690"/>
      <c r="G121" s="690" t="s">
        <v>913</v>
      </c>
      <c r="H121" s="689"/>
      <c r="I121" s="691" t="s">
        <v>936</v>
      </c>
      <c r="J121" s="689"/>
      <c r="K121" s="692">
        <v>400</v>
      </c>
      <c r="L121" s="689"/>
      <c r="M121" s="694">
        <v>12183</v>
      </c>
      <c r="N121" s="689"/>
      <c r="O121" s="695">
        <v>10.0375</v>
      </c>
      <c r="P121" s="689"/>
      <c r="Q121" s="696">
        <f t="shared" si="24"/>
        <v>4015</v>
      </c>
      <c r="R121" s="689"/>
      <c r="S121" s="697">
        <v>0</v>
      </c>
      <c r="T121" s="689"/>
      <c r="U121" s="698">
        <f t="shared" si="25"/>
        <v>0</v>
      </c>
      <c r="V121" s="689"/>
      <c r="W121" s="696">
        <f t="shared" si="26"/>
        <v>4015</v>
      </c>
      <c r="Y121" s="699">
        <v>1.4E-3</v>
      </c>
      <c r="AA121" s="663">
        <f t="shared" si="27"/>
        <v>17.0562</v>
      </c>
      <c r="AC121" s="673" t="s">
        <v>912</v>
      </c>
    </row>
    <row r="122" spans="1:29">
      <c r="A122" s="673">
        <v>103</v>
      </c>
      <c r="C122" s="688" t="s">
        <v>911</v>
      </c>
      <c r="D122" s="689"/>
      <c r="E122" s="690" t="s">
        <v>912</v>
      </c>
      <c r="F122" s="690"/>
      <c r="G122" s="690" t="s">
        <v>913</v>
      </c>
      <c r="H122" s="689"/>
      <c r="I122" s="691" t="s">
        <v>937</v>
      </c>
      <c r="J122" s="689"/>
      <c r="K122" s="692">
        <v>40000</v>
      </c>
      <c r="L122" s="689"/>
      <c r="M122" s="694">
        <v>1214920</v>
      </c>
      <c r="N122" s="689"/>
      <c r="O122" s="695">
        <v>10.0375</v>
      </c>
      <c r="P122" s="689"/>
      <c r="Q122" s="696">
        <f t="shared" si="24"/>
        <v>401500</v>
      </c>
      <c r="R122" s="689"/>
      <c r="S122" s="697">
        <v>0</v>
      </c>
      <c r="T122" s="689"/>
      <c r="U122" s="698">
        <f t="shared" si="25"/>
        <v>0</v>
      </c>
      <c r="V122" s="689"/>
      <c r="W122" s="696">
        <f t="shared" si="26"/>
        <v>401500</v>
      </c>
      <c r="Y122" s="699">
        <v>1.4E-3</v>
      </c>
      <c r="AA122" s="663">
        <f t="shared" si="27"/>
        <v>1700.8879999999999</v>
      </c>
      <c r="AC122" s="673" t="s">
        <v>912</v>
      </c>
    </row>
    <row r="123" spans="1:29">
      <c r="A123" s="673">
        <v>104</v>
      </c>
      <c r="C123" s="688" t="s">
        <v>938</v>
      </c>
      <c r="D123" s="689"/>
      <c r="E123" s="690" t="s">
        <v>912</v>
      </c>
      <c r="F123" s="690"/>
      <c r="G123" s="690" t="s">
        <v>913</v>
      </c>
      <c r="H123" s="689"/>
      <c r="I123" s="691" t="s">
        <v>939</v>
      </c>
      <c r="J123" s="689"/>
      <c r="K123" s="692">
        <v>800</v>
      </c>
      <c r="L123" s="689"/>
      <c r="M123" s="694">
        <v>24063</v>
      </c>
      <c r="N123" s="689"/>
      <c r="O123" s="695">
        <v>10.0375</v>
      </c>
      <c r="P123" s="689"/>
      <c r="Q123" s="696">
        <f t="shared" si="24"/>
        <v>8030</v>
      </c>
      <c r="R123" s="689"/>
      <c r="S123" s="697">
        <v>0</v>
      </c>
      <c r="T123" s="689"/>
      <c r="U123" s="698">
        <f t="shared" si="25"/>
        <v>0</v>
      </c>
      <c r="V123" s="689"/>
      <c r="W123" s="696">
        <f t="shared" si="26"/>
        <v>8030</v>
      </c>
      <c r="Y123" s="699">
        <v>1.4E-3</v>
      </c>
      <c r="AA123" s="663">
        <f t="shared" si="27"/>
        <v>33.688200000000002</v>
      </c>
      <c r="AC123" s="673" t="s">
        <v>912</v>
      </c>
    </row>
    <row r="124" spans="1:29">
      <c r="A124" s="673">
        <v>105</v>
      </c>
      <c r="C124" s="688" t="s">
        <v>938</v>
      </c>
      <c r="D124" s="689"/>
      <c r="E124" s="690" t="s">
        <v>912</v>
      </c>
      <c r="F124" s="690"/>
      <c r="G124" s="690" t="s">
        <v>913</v>
      </c>
      <c r="H124" s="689"/>
      <c r="I124" s="691" t="s">
        <v>940</v>
      </c>
      <c r="J124" s="689"/>
      <c r="K124" s="692">
        <v>200</v>
      </c>
      <c r="L124" s="689"/>
      <c r="M124" s="694">
        <v>6106</v>
      </c>
      <c r="N124" s="689"/>
      <c r="O124" s="695">
        <v>10.0375</v>
      </c>
      <c r="P124" s="689"/>
      <c r="Q124" s="696">
        <f t="shared" si="24"/>
        <v>2007.5</v>
      </c>
      <c r="R124" s="689"/>
      <c r="S124" s="697">
        <v>0</v>
      </c>
      <c r="T124" s="689"/>
      <c r="U124" s="698">
        <f t="shared" si="25"/>
        <v>0</v>
      </c>
      <c r="V124" s="689"/>
      <c r="W124" s="696">
        <f t="shared" si="26"/>
        <v>2007.5</v>
      </c>
      <c r="Y124" s="699">
        <v>1.4E-3</v>
      </c>
      <c r="AA124" s="663">
        <f t="shared" si="27"/>
        <v>8.5483999999999991</v>
      </c>
      <c r="AC124" s="673" t="s">
        <v>912</v>
      </c>
    </row>
    <row r="125" spans="1:29">
      <c r="A125" s="673">
        <v>106</v>
      </c>
      <c r="C125" s="688" t="s">
        <v>938</v>
      </c>
      <c r="D125" s="689"/>
      <c r="E125" s="690" t="s">
        <v>912</v>
      </c>
      <c r="F125" s="690"/>
      <c r="G125" s="690" t="s">
        <v>913</v>
      </c>
      <c r="H125" s="689"/>
      <c r="I125" s="691" t="s">
        <v>941</v>
      </c>
      <c r="J125" s="689"/>
      <c r="K125" s="692">
        <v>400</v>
      </c>
      <c r="L125" s="689"/>
      <c r="M125" s="694">
        <v>12183</v>
      </c>
      <c r="N125" s="689"/>
      <c r="O125" s="695">
        <v>10.0375</v>
      </c>
      <c r="P125" s="689"/>
      <c r="Q125" s="696">
        <f t="shared" si="24"/>
        <v>4015</v>
      </c>
      <c r="R125" s="689"/>
      <c r="S125" s="697">
        <v>0</v>
      </c>
      <c r="T125" s="689"/>
      <c r="U125" s="698">
        <f t="shared" si="25"/>
        <v>0</v>
      </c>
      <c r="V125" s="689"/>
      <c r="W125" s="696">
        <f t="shared" si="26"/>
        <v>4015</v>
      </c>
      <c r="Y125" s="699">
        <v>1.4E-3</v>
      </c>
      <c r="AA125" s="663">
        <f t="shared" si="27"/>
        <v>17.0562</v>
      </c>
      <c r="AC125" s="673" t="s">
        <v>912</v>
      </c>
    </row>
    <row r="126" spans="1:29">
      <c r="A126" s="673">
        <v>107</v>
      </c>
      <c r="C126" s="688" t="s">
        <v>942</v>
      </c>
      <c r="D126" s="689"/>
      <c r="E126" s="690" t="s">
        <v>912</v>
      </c>
      <c r="F126" s="690"/>
      <c r="G126" s="690" t="s">
        <v>913</v>
      </c>
      <c r="H126" s="689"/>
      <c r="I126" s="691" t="s">
        <v>943</v>
      </c>
      <c r="J126" s="689"/>
      <c r="K126" s="692">
        <v>611</v>
      </c>
      <c r="L126" s="689"/>
      <c r="M126" s="694">
        <v>18631</v>
      </c>
      <c r="N126" s="689"/>
      <c r="O126" s="695">
        <v>10.0375</v>
      </c>
      <c r="P126" s="689"/>
      <c r="Q126" s="696">
        <f t="shared" si="24"/>
        <v>6132.9124999999995</v>
      </c>
      <c r="R126" s="689"/>
      <c r="S126" s="697">
        <v>0</v>
      </c>
      <c r="T126" s="689"/>
      <c r="U126" s="698">
        <f t="shared" si="25"/>
        <v>0</v>
      </c>
      <c r="V126" s="689"/>
      <c r="W126" s="696">
        <f t="shared" si="26"/>
        <v>6132.9124999999995</v>
      </c>
      <c r="Y126" s="699">
        <v>1.4E-3</v>
      </c>
      <c r="AA126" s="663">
        <f t="shared" si="27"/>
        <v>26.083400000000001</v>
      </c>
      <c r="AC126" s="673" t="s">
        <v>912</v>
      </c>
    </row>
    <row r="127" spans="1:29">
      <c r="A127" s="673">
        <v>108</v>
      </c>
      <c r="C127" s="688" t="s">
        <v>944</v>
      </c>
      <c r="D127" s="689"/>
      <c r="E127" s="690" t="s">
        <v>912</v>
      </c>
      <c r="F127" s="690"/>
      <c r="G127" s="690" t="s">
        <v>913</v>
      </c>
      <c r="H127" s="689"/>
      <c r="I127" s="691" t="s">
        <v>945</v>
      </c>
      <c r="J127" s="689"/>
      <c r="K127" s="692">
        <v>744</v>
      </c>
      <c r="L127" s="689"/>
      <c r="M127" s="694">
        <v>18958</v>
      </c>
      <c r="N127" s="689"/>
      <c r="O127" s="695">
        <v>10.0375</v>
      </c>
      <c r="P127" s="689"/>
      <c r="Q127" s="696">
        <f t="shared" si="24"/>
        <v>7467.9</v>
      </c>
      <c r="R127" s="689"/>
      <c r="S127" s="697">
        <v>0</v>
      </c>
      <c r="T127" s="689"/>
      <c r="U127" s="698">
        <f t="shared" si="25"/>
        <v>0</v>
      </c>
      <c r="V127" s="689"/>
      <c r="W127" s="696">
        <f t="shared" si="26"/>
        <v>7467.9</v>
      </c>
      <c r="Y127" s="699">
        <v>1.4E-3</v>
      </c>
      <c r="AA127" s="663">
        <f t="shared" si="27"/>
        <v>26.5412</v>
      </c>
      <c r="AC127" s="673" t="s">
        <v>912</v>
      </c>
    </row>
    <row r="128" spans="1:29">
      <c r="A128" s="673">
        <v>109</v>
      </c>
      <c r="C128" s="688" t="s">
        <v>946</v>
      </c>
      <c r="D128" s="689"/>
      <c r="E128" s="690" t="s">
        <v>912</v>
      </c>
      <c r="F128" s="690"/>
      <c r="G128" s="690" t="s">
        <v>913</v>
      </c>
      <c r="H128" s="689"/>
      <c r="I128" s="691" t="s">
        <v>947</v>
      </c>
      <c r="J128" s="689"/>
      <c r="K128" s="692">
        <v>361</v>
      </c>
      <c r="L128" s="689"/>
      <c r="M128" s="694">
        <v>9204</v>
      </c>
      <c r="N128" s="689"/>
      <c r="O128" s="695">
        <v>10.0375</v>
      </c>
      <c r="P128" s="689"/>
      <c r="Q128" s="696">
        <f t="shared" si="24"/>
        <v>3623.5374999999999</v>
      </c>
      <c r="R128" s="689"/>
      <c r="S128" s="697">
        <v>0</v>
      </c>
      <c r="T128" s="689"/>
      <c r="U128" s="698">
        <f t="shared" si="25"/>
        <v>0</v>
      </c>
      <c r="V128" s="689"/>
      <c r="W128" s="696">
        <f t="shared" si="26"/>
        <v>3623.5374999999999</v>
      </c>
      <c r="Y128" s="699">
        <v>1.4E-3</v>
      </c>
      <c r="AA128" s="663">
        <f t="shared" si="27"/>
        <v>12.8856</v>
      </c>
      <c r="AC128" s="673" t="s">
        <v>912</v>
      </c>
    </row>
    <row r="129" spans="1:31">
      <c r="A129" s="673">
        <v>110</v>
      </c>
      <c r="C129" s="688" t="s">
        <v>948</v>
      </c>
      <c r="D129" s="689"/>
      <c r="E129" s="690" t="s">
        <v>912</v>
      </c>
      <c r="F129" s="690"/>
      <c r="G129" s="690" t="s">
        <v>913</v>
      </c>
      <c r="H129" s="689"/>
      <c r="I129" s="691" t="s">
        <v>949</v>
      </c>
      <c r="J129" s="689"/>
      <c r="K129" s="692">
        <v>59</v>
      </c>
      <c r="L129" s="689"/>
      <c r="M129" s="694">
        <v>1798</v>
      </c>
      <c r="N129" s="689"/>
      <c r="O129" s="695">
        <v>10.0375</v>
      </c>
      <c r="P129" s="689"/>
      <c r="Q129" s="696">
        <f t="shared" si="24"/>
        <v>592.21249999999998</v>
      </c>
      <c r="R129" s="689"/>
      <c r="S129" s="697">
        <v>0</v>
      </c>
      <c r="T129" s="689"/>
      <c r="U129" s="698">
        <f t="shared" si="25"/>
        <v>0</v>
      </c>
      <c r="V129" s="689"/>
      <c r="W129" s="696">
        <f t="shared" si="26"/>
        <v>592.21249999999998</v>
      </c>
      <c r="Y129" s="699">
        <v>1.4E-3</v>
      </c>
      <c r="AA129" s="663">
        <f t="shared" si="27"/>
        <v>2.5171999999999999</v>
      </c>
      <c r="AC129" s="673" t="s">
        <v>912</v>
      </c>
    </row>
    <row r="130" spans="1:31">
      <c r="A130" s="673">
        <v>111</v>
      </c>
      <c r="C130" s="688" t="s">
        <v>950</v>
      </c>
      <c r="D130" s="689"/>
      <c r="E130" s="690" t="s">
        <v>912</v>
      </c>
      <c r="F130" s="690"/>
      <c r="G130" s="690" t="s">
        <v>913</v>
      </c>
      <c r="H130" s="689"/>
      <c r="I130" s="691" t="s">
        <v>951</v>
      </c>
      <c r="J130" s="689"/>
      <c r="K130" s="692">
        <v>360</v>
      </c>
      <c r="L130" s="689"/>
      <c r="M130" s="694">
        <v>10094</v>
      </c>
      <c r="N130" s="689"/>
      <c r="O130" s="695">
        <v>10.0375</v>
      </c>
      <c r="P130" s="689"/>
      <c r="Q130" s="696">
        <f t="shared" si="24"/>
        <v>3613.5</v>
      </c>
      <c r="R130" s="689"/>
      <c r="S130" s="697">
        <v>0</v>
      </c>
      <c r="T130" s="689"/>
      <c r="U130" s="698">
        <f t="shared" si="25"/>
        <v>0</v>
      </c>
      <c r="V130" s="689"/>
      <c r="W130" s="696">
        <f t="shared" si="26"/>
        <v>3613.5</v>
      </c>
      <c r="Y130" s="699">
        <v>1.4E-3</v>
      </c>
      <c r="AA130" s="663">
        <f t="shared" si="27"/>
        <v>14.131600000000001</v>
      </c>
      <c r="AC130" s="673" t="s">
        <v>912</v>
      </c>
    </row>
    <row r="131" spans="1:31">
      <c r="A131" s="673">
        <v>112</v>
      </c>
      <c r="C131" s="688" t="s">
        <v>952</v>
      </c>
      <c r="D131" s="689"/>
      <c r="E131" s="690" t="s">
        <v>912</v>
      </c>
      <c r="F131" s="690"/>
      <c r="G131" s="690" t="s">
        <v>913</v>
      </c>
      <c r="H131" s="689"/>
      <c r="I131" s="691" t="s">
        <v>953</v>
      </c>
      <c r="J131" s="689"/>
      <c r="K131" s="692">
        <v>660</v>
      </c>
      <c r="L131" s="689"/>
      <c r="M131" s="694">
        <v>19993</v>
      </c>
      <c r="N131" s="689"/>
      <c r="O131" s="695">
        <v>10.0375</v>
      </c>
      <c r="P131" s="689"/>
      <c r="Q131" s="696">
        <f t="shared" si="24"/>
        <v>6624.75</v>
      </c>
      <c r="R131" s="689"/>
      <c r="S131" s="697">
        <v>0</v>
      </c>
      <c r="T131" s="689"/>
      <c r="U131" s="698">
        <f t="shared" si="25"/>
        <v>0</v>
      </c>
      <c r="V131" s="689"/>
      <c r="W131" s="696">
        <f t="shared" si="26"/>
        <v>6624.75</v>
      </c>
      <c r="Y131" s="699">
        <v>1.4E-3</v>
      </c>
      <c r="AA131" s="663">
        <f t="shared" si="27"/>
        <v>27.990199999999998</v>
      </c>
      <c r="AC131" s="673" t="s">
        <v>912</v>
      </c>
    </row>
    <row r="132" spans="1:31">
      <c r="A132" s="673">
        <v>113</v>
      </c>
      <c r="C132" s="688" t="s">
        <v>954</v>
      </c>
      <c r="D132" s="689"/>
      <c r="E132" s="690" t="s">
        <v>912</v>
      </c>
      <c r="F132" s="690"/>
      <c r="G132" s="690" t="s">
        <v>913</v>
      </c>
      <c r="H132" s="689"/>
      <c r="I132" s="691" t="s">
        <v>955</v>
      </c>
      <c r="J132" s="689"/>
      <c r="K132" s="692">
        <v>508</v>
      </c>
      <c r="L132" s="689"/>
      <c r="M132" s="694">
        <v>13594</v>
      </c>
      <c r="N132" s="689"/>
      <c r="O132" s="695">
        <v>10.0375</v>
      </c>
      <c r="P132" s="689"/>
      <c r="Q132" s="696">
        <f t="shared" si="24"/>
        <v>5099.05</v>
      </c>
      <c r="R132" s="689"/>
      <c r="S132" s="697">
        <v>0</v>
      </c>
      <c r="T132" s="689"/>
      <c r="U132" s="698">
        <f t="shared" si="25"/>
        <v>0</v>
      </c>
      <c r="V132" s="689"/>
      <c r="W132" s="696">
        <f t="shared" si="26"/>
        <v>5099.05</v>
      </c>
      <c r="Y132" s="699">
        <v>1.4E-3</v>
      </c>
      <c r="AA132" s="663">
        <f t="shared" si="27"/>
        <v>19.031600000000001</v>
      </c>
      <c r="AC132" s="673" t="s">
        <v>912</v>
      </c>
    </row>
    <row r="133" spans="1:31">
      <c r="A133" s="673">
        <v>114</v>
      </c>
      <c r="C133" s="688" t="s">
        <v>956</v>
      </c>
      <c r="D133" s="689"/>
      <c r="E133" s="690" t="s">
        <v>912</v>
      </c>
      <c r="F133" s="690"/>
      <c r="G133" s="690" t="s">
        <v>913</v>
      </c>
      <c r="H133" s="689"/>
      <c r="I133" s="691" t="s">
        <v>957</v>
      </c>
      <c r="J133" s="689"/>
      <c r="K133" s="692">
        <v>675</v>
      </c>
      <c r="L133" s="689"/>
      <c r="M133" s="694">
        <v>19751</v>
      </c>
      <c r="N133" s="689"/>
      <c r="O133" s="695">
        <v>10.0375</v>
      </c>
      <c r="P133" s="689"/>
      <c r="Q133" s="696">
        <f t="shared" si="24"/>
        <v>6775.3125</v>
      </c>
      <c r="R133" s="689"/>
      <c r="S133" s="697">
        <v>0</v>
      </c>
      <c r="T133" s="689"/>
      <c r="U133" s="698">
        <f t="shared" si="25"/>
        <v>0</v>
      </c>
      <c r="V133" s="689"/>
      <c r="W133" s="696">
        <f t="shared" si="26"/>
        <v>6775.3125</v>
      </c>
      <c r="Y133" s="699">
        <v>1.4E-3</v>
      </c>
      <c r="AA133" s="663">
        <f t="shared" si="27"/>
        <v>27.651399999999999</v>
      </c>
      <c r="AC133" s="673" t="s">
        <v>912</v>
      </c>
    </row>
    <row r="134" spans="1:31">
      <c r="A134" s="673">
        <v>115</v>
      </c>
      <c r="C134" s="688" t="s">
        <v>958</v>
      </c>
      <c r="D134" s="689"/>
      <c r="E134" s="690" t="s">
        <v>912</v>
      </c>
      <c r="F134" s="690"/>
      <c r="G134" s="690" t="s">
        <v>913</v>
      </c>
      <c r="H134" s="689"/>
      <c r="I134" s="691" t="s">
        <v>959</v>
      </c>
      <c r="J134" s="689"/>
      <c r="K134" s="692">
        <v>28</v>
      </c>
      <c r="L134" s="689"/>
      <c r="M134" s="694">
        <v>336</v>
      </c>
      <c r="N134" s="689"/>
      <c r="O134" s="695">
        <v>10.0375</v>
      </c>
      <c r="P134" s="689"/>
      <c r="Q134" s="696">
        <f t="shared" si="24"/>
        <v>281.05</v>
      </c>
      <c r="R134" s="689"/>
      <c r="S134" s="697">
        <v>0</v>
      </c>
      <c r="T134" s="689"/>
      <c r="U134" s="698">
        <f t="shared" si="25"/>
        <v>0</v>
      </c>
      <c r="V134" s="689"/>
      <c r="W134" s="696">
        <f t="shared" si="26"/>
        <v>281.05</v>
      </c>
      <c r="Y134" s="699">
        <v>1.4E-3</v>
      </c>
      <c r="AA134" s="663">
        <f t="shared" si="27"/>
        <v>0.47039999999999998</v>
      </c>
      <c r="AC134" s="673" t="s">
        <v>912</v>
      </c>
    </row>
    <row r="135" spans="1:31">
      <c r="A135" s="673">
        <v>116</v>
      </c>
      <c r="C135" s="700" t="s">
        <v>960</v>
      </c>
      <c r="D135" s="689"/>
      <c r="E135" s="690"/>
      <c r="F135" s="690"/>
      <c r="G135" s="690"/>
      <c r="H135" s="689"/>
      <c r="I135" s="690"/>
      <c r="J135" s="689"/>
      <c r="K135" s="701">
        <f>SUM(K106:K134)</f>
        <v>207989</v>
      </c>
      <c r="L135" s="689"/>
      <c r="M135" s="702">
        <f>SUM(M106:M134)</f>
        <v>3569343</v>
      </c>
      <c r="N135" s="689"/>
      <c r="O135" s="689"/>
      <c r="P135" s="689"/>
      <c r="Q135" s="710">
        <f>SUM(Q106:Q134)</f>
        <v>2087689.5875000001</v>
      </c>
      <c r="R135" s="689"/>
      <c r="S135" s="689"/>
      <c r="T135" s="689"/>
      <c r="U135" s="710">
        <f>SUM(U106:U134)</f>
        <v>0</v>
      </c>
      <c r="V135" s="689"/>
      <c r="W135" s="710">
        <f>SUM(W106:W134)</f>
        <v>2087689.5875000001</v>
      </c>
      <c r="AA135" s="703">
        <f>SUM(AA106:AA134)</f>
        <v>4997.0801999999994</v>
      </c>
    </row>
    <row r="136" spans="1:31">
      <c r="C136" s="700" t="s">
        <v>961</v>
      </c>
      <c r="D136" s="689"/>
      <c r="E136" s="690"/>
      <c r="F136" s="690"/>
      <c r="G136" s="690"/>
      <c r="H136" s="689"/>
      <c r="I136" s="690"/>
      <c r="J136" s="689"/>
      <c r="K136" s="707"/>
      <c r="L136" s="689"/>
      <c r="M136" s="693"/>
      <c r="N136" s="689"/>
      <c r="O136" s="689"/>
      <c r="P136" s="689"/>
      <c r="Q136" s="689"/>
      <c r="R136" s="689"/>
      <c r="S136" s="689"/>
      <c r="T136" s="689"/>
      <c r="U136" s="689"/>
      <c r="V136" s="689"/>
      <c r="W136" s="689"/>
    </row>
    <row r="137" spans="1:31">
      <c r="A137" s="673">
        <v>117</v>
      </c>
      <c r="C137" s="688" t="s">
        <v>932</v>
      </c>
      <c r="D137" s="689"/>
      <c r="E137" s="690" t="s">
        <v>912</v>
      </c>
      <c r="F137" s="690"/>
      <c r="G137" s="690" t="s">
        <v>970</v>
      </c>
      <c r="H137" s="689"/>
      <c r="I137" s="691" t="s">
        <v>965</v>
      </c>
      <c r="J137" s="689"/>
      <c r="K137" s="692">
        <v>0</v>
      </c>
      <c r="L137" s="689"/>
      <c r="M137" s="694">
        <v>4557</v>
      </c>
      <c r="N137" s="689"/>
      <c r="O137" s="695">
        <v>10.0375</v>
      </c>
      <c r="P137" s="689"/>
      <c r="Q137" s="696">
        <f t="shared" ref="Q137:Q144" si="28">K137*O137</f>
        <v>0</v>
      </c>
      <c r="R137" s="689"/>
      <c r="S137" s="697">
        <v>0</v>
      </c>
      <c r="T137" s="689"/>
      <c r="U137" s="698">
        <f t="shared" ref="U137:U144" si="29">S137*M137</f>
        <v>0</v>
      </c>
      <c r="V137" s="689"/>
      <c r="W137" s="696">
        <f t="shared" ref="W137:W144" si="30">U137+Q137</f>
        <v>0</v>
      </c>
      <c r="Y137" s="699">
        <v>1.4E-3</v>
      </c>
      <c r="AA137" s="663">
        <f t="shared" ref="AA137:AA144" si="31">Y137*M137</f>
        <v>6.3798000000000004</v>
      </c>
      <c r="AC137" s="673" t="s">
        <v>912</v>
      </c>
    </row>
    <row r="138" spans="1:31">
      <c r="A138" s="673">
        <v>118</v>
      </c>
      <c r="C138" s="688" t="s">
        <v>966</v>
      </c>
      <c r="D138" s="689"/>
      <c r="E138" s="690" t="s">
        <v>912</v>
      </c>
      <c r="F138" s="690"/>
      <c r="G138" s="690" t="s">
        <v>970</v>
      </c>
      <c r="H138" s="689"/>
      <c r="I138" s="691" t="s">
        <v>968</v>
      </c>
      <c r="J138" s="689"/>
      <c r="K138" s="692">
        <v>0</v>
      </c>
      <c r="L138" s="689"/>
      <c r="M138" s="694">
        <v>6860</v>
      </c>
      <c r="N138" s="689"/>
      <c r="O138" s="695">
        <v>10.0375</v>
      </c>
      <c r="P138" s="689"/>
      <c r="Q138" s="696">
        <f t="shared" si="28"/>
        <v>0</v>
      </c>
      <c r="R138" s="689"/>
      <c r="S138" s="697">
        <v>0</v>
      </c>
      <c r="T138" s="689"/>
      <c r="U138" s="698">
        <f t="shared" si="29"/>
        <v>0</v>
      </c>
      <c r="V138" s="689"/>
      <c r="W138" s="696">
        <f t="shared" si="30"/>
        <v>0</v>
      </c>
      <c r="Y138" s="699">
        <v>1.4E-3</v>
      </c>
      <c r="AA138" s="663">
        <f t="shared" si="31"/>
        <v>9.6039999999999992</v>
      </c>
      <c r="AC138" s="673" t="s">
        <v>912</v>
      </c>
    </row>
    <row r="139" spans="1:31">
      <c r="A139" s="673">
        <v>119</v>
      </c>
      <c r="C139" s="688" t="s">
        <v>966</v>
      </c>
      <c r="D139" s="689"/>
      <c r="E139" s="690" t="s">
        <v>912</v>
      </c>
      <c r="F139" s="690"/>
      <c r="G139" s="690" t="s">
        <v>970</v>
      </c>
      <c r="H139" s="689"/>
      <c r="I139" s="691" t="s">
        <v>967</v>
      </c>
      <c r="J139" s="689"/>
      <c r="K139" s="692">
        <v>0</v>
      </c>
      <c r="L139" s="689"/>
      <c r="M139" s="694">
        <v>180016</v>
      </c>
      <c r="N139" s="689"/>
      <c r="O139" s="695">
        <v>10.0375</v>
      </c>
      <c r="P139" s="689"/>
      <c r="Q139" s="696">
        <f t="shared" si="28"/>
        <v>0</v>
      </c>
      <c r="R139" s="689"/>
      <c r="S139" s="697">
        <v>0</v>
      </c>
      <c r="T139" s="689"/>
      <c r="U139" s="698">
        <f t="shared" si="29"/>
        <v>0</v>
      </c>
      <c r="V139" s="689"/>
      <c r="W139" s="696">
        <f t="shared" si="30"/>
        <v>0</v>
      </c>
      <c r="Y139" s="699">
        <v>1.4E-3</v>
      </c>
      <c r="AA139" s="663">
        <f t="shared" si="31"/>
        <v>252.0224</v>
      </c>
      <c r="AC139" s="673" t="s">
        <v>912</v>
      </c>
    </row>
    <row r="140" spans="1:31">
      <c r="A140" s="673">
        <v>120</v>
      </c>
      <c r="C140" s="688" t="s">
        <v>958</v>
      </c>
      <c r="D140" s="689"/>
      <c r="E140" s="690" t="s">
        <v>912</v>
      </c>
      <c r="F140" s="690"/>
      <c r="G140" s="690" t="s">
        <v>970</v>
      </c>
      <c r="H140" s="689"/>
      <c r="I140" s="691" t="s">
        <v>964</v>
      </c>
      <c r="J140" s="689"/>
      <c r="K140" s="692">
        <v>0</v>
      </c>
      <c r="L140" s="689"/>
      <c r="M140" s="694">
        <v>8860</v>
      </c>
      <c r="N140" s="689"/>
      <c r="O140" s="695">
        <v>10.0375</v>
      </c>
      <c r="P140" s="689"/>
      <c r="Q140" s="696">
        <f t="shared" si="28"/>
        <v>0</v>
      </c>
      <c r="R140" s="689"/>
      <c r="S140" s="697">
        <v>0</v>
      </c>
      <c r="T140" s="689"/>
      <c r="U140" s="698">
        <f t="shared" si="29"/>
        <v>0</v>
      </c>
      <c r="V140" s="689"/>
      <c r="W140" s="696">
        <f t="shared" si="30"/>
        <v>0</v>
      </c>
      <c r="Y140" s="699">
        <v>1.4E-3</v>
      </c>
      <c r="AA140" s="663">
        <f t="shared" si="31"/>
        <v>12.404</v>
      </c>
      <c r="AC140" s="673" t="s">
        <v>912</v>
      </c>
    </row>
    <row r="141" spans="1:31">
      <c r="A141" s="673">
        <v>121</v>
      </c>
      <c r="C141" s="688" t="s">
        <v>948</v>
      </c>
      <c r="D141" s="689"/>
      <c r="E141" s="690" t="s">
        <v>912</v>
      </c>
      <c r="F141" s="690"/>
      <c r="G141" s="690" t="s">
        <v>970</v>
      </c>
      <c r="H141" s="689"/>
      <c r="I141" s="691" t="s">
        <v>963</v>
      </c>
      <c r="J141" s="689"/>
      <c r="K141" s="692">
        <v>0</v>
      </c>
      <c r="L141" s="689"/>
      <c r="M141" s="694">
        <v>6107</v>
      </c>
      <c r="N141" s="689"/>
      <c r="O141" s="695">
        <v>10.0375</v>
      </c>
      <c r="P141" s="689"/>
      <c r="Q141" s="696">
        <f t="shared" si="28"/>
        <v>0</v>
      </c>
      <c r="R141" s="689"/>
      <c r="S141" s="697">
        <v>0</v>
      </c>
      <c r="T141" s="689"/>
      <c r="U141" s="698">
        <f t="shared" si="29"/>
        <v>0</v>
      </c>
      <c r="V141" s="689"/>
      <c r="W141" s="696">
        <f t="shared" si="30"/>
        <v>0</v>
      </c>
      <c r="Y141" s="699">
        <v>1.4E-3</v>
      </c>
      <c r="AA141" s="663">
        <f t="shared" si="31"/>
        <v>8.5497999999999994</v>
      </c>
      <c r="AC141" s="673" t="s">
        <v>912</v>
      </c>
    </row>
    <row r="142" spans="1:31">
      <c r="A142" s="673">
        <v>122</v>
      </c>
      <c r="C142" s="688" t="s">
        <v>972</v>
      </c>
      <c r="D142" s="689"/>
      <c r="E142" s="690" t="s">
        <v>912</v>
      </c>
      <c r="F142" s="690"/>
      <c r="G142" s="690" t="s">
        <v>962</v>
      </c>
      <c r="H142" s="689"/>
      <c r="I142" s="691" t="s">
        <v>973</v>
      </c>
      <c r="J142" s="689"/>
      <c r="K142" s="692">
        <v>150</v>
      </c>
      <c r="L142" s="689"/>
      <c r="M142" s="694">
        <v>0</v>
      </c>
      <c r="N142" s="689"/>
      <c r="O142" s="695">
        <v>10.0375</v>
      </c>
      <c r="P142" s="689"/>
      <c r="Q142" s="696">
        <f t="shared" si="28"/>
        <v>1505.625</v>
      </c>
      <c r="R142" s="689"/>
      <c r="S142" s="697">
        <v>0</v>
      </c>
      <c r="T142" s="689"/>
      <c r="U142" s="698">
        <f t="shared" si="29"/>
        <v>0</v>
      </c>
      <c r="V142" s="689"/>
      <c r="W142" s="696">
        <f t="shared" si="30"/>
        <v>1505.625</v>
      </c>
      <c r="Y142" s="699">
        <v>1.4E-3</v>
      </c>
      <c r="AA142" s="663">
        <f t="shared" si="31"/>
        <v>0</v>
      </c>
      <c r="AC142" s="673" t="s">
        <v>912</v>
      </c>
      <c r="AE142" s="708"/>
    </row>
    <row r="143" spans="1:31">
      <c r="A143" s="673">
        <v>123</v>
      </c>
      <c r="C143" s="688" t="s">
        <v>974</v>
      </c>
      <c r="D143" s="689"/>
      <c r="E143" s="690" t="s">
        <v>912</v>
      </c>
      <c r="F143" s="690"/>
      <c r="G143" s="690" t="s">
        <v>962</v>
      </c>
      <c r="H143" s="689"/>
      <c r="I143" s="691" t="s">
        <v>975</v>
      </c>
      <c r="J143" s="689"/>
      <c r="K143" s="692">
        <v>20000</v>
      </c>
      <c r="L143" s="689"/>
      <c r="M143" s="694">
        <v>0</v>
      </c>
      <c r="N143" s="689"/>
      <c r="O143" s="695">
        <v>10.0375</v>
      </c>
      <c r="P143" s="689"/>
      <c r="Q143" s="696">
        <f t="shared" si="28"/>
        <v>200750</v>
      </c>
      <c r="R143" s="689"/>
      <c r="S143" s="697">
        <v>0</v>
      </c>
      <c r="T143" s="689"/>
      <c r="U143" s="698">
        <f t="shared" si="29"/>
        <v>0</v>
      </c>
      <c r="V143" s="689"/>
      <c r="W143" s="696">
        <f t="shared" si="30"/>
        <v>200750</v>
      </c>
      <c r="Y143" s="699">
        <v>1.4E-3</v>
      </c>
      <c r="AA143" s="663">
        <f t="shared" si="31"/>
        <v>0</v>
      </c>
      <c r="AC143" s="673" t="s">
        <v>912</v>
      </c>
    </row>
    <row r="144" spans="1:31">
      <c r="A144" s="673">
        <v>124</v>
      </c>
      <c r="C144" s="688" t="s">
        <v>969</v>
      </c>
      <c r="D144" s="689"/>
      <c r="E144" s="690" t="s">
        <v>912</v>
      </c>
      <c r="F144" s="690"/>
      <c r="G144" s="690" t="s">
        <v>962</v>
      </c>
      <c r="H144" s="689"/>
      <c r="I144" s="691" t="s">
        <v>971</v>
      </c>
      <c r="J144" s="689"/>
      <c r="K144" s="692">
        <v>500</v>
      </c>
      <c r="L144" s="689"/>
      <c r="M144" s="694">
        <v>0</v>
      </c>
      <c r="N144" s="689"/>
      <c r="O144" s="695">
        <v>10.0375</v>
      </c>
      <c r="P144" s="689"/>
      <c r="Q144" s="696">
        <f t="shared" si="28"/>
        <v>5018.75</v>
      </c>
      <c r="R144" s="689"/>
      <c r="S144" s="697">
        <v>0</v>
      </c>
      <c r="T144" s="689"/>
      <c r="U144" s="698">
        <f t="shared" si="29"/>
        <v>0</v>
      </c>
      <c r="V144" s="689"/>
      <c r="W144" s="696">
        <f t="shared" si="30"/>
        <v>5018.75</v>
      </c>
      <c r="Y144" s="699">
        <v>1.4E-3</v>
      </c>
      <c r="AA144" s="663">
        <f t="shared" si="31"/>
        <v>0</v>
      </c>
      <c r="AC144" s="673" t="s">
        <v>912</v>
      </c>
    </row>
    <row r="145" spans="1:29">
      <c r="A145" s="673">
        <v>125</v>
      </c>
      <c r="C145" s="700" t="s">
        <v>976</v>
      </c>
      <c r="D145" s="689"/>
      <c r="E145" s="690"/>
      <c r="F145" s="690"/>
      <c r="G145" s="690"/>
      <c r="H145" s="689"/>
      <c r="I145" s="690"/>
      <c r="J145" s="689"/>
      <c r="K145" s="701">
        <f>SUM(K137:K144)</f>
        <v>20650</v>
      </c>
      <c r="L145" s="689"/>
      <c r="M145" s="702">
        <f>SUM(M137:M144)</f>
        <v>206400</v>
      </c>
      <c r="N145" s="689"/>
      <c r="O145" s="689"/>
      <c r="P145" s="689"/>
      <c r="Q145" s="710">
        <f>SUM(Q137:Q144)</f>
        <v>207274.375</v>
      </c>
      <c r="R145" s="689"/>
      <c r="S145" s="689"/>
      <c r="T145" s="689"/>
      <c r="U145" s="710">
        <f>SUM(U137:U144)</f>
        <v>0</v>
      </c>
      <c r="V145" s="689"/>
      <c r="W145" s="710">
        <f>SUM(W137:W144)</f>
        <v>207274.375</v>
      </c>
      <c r="AA145" s="703">
        <f>SUM(AA137:AA144)</f>
        <v>288.95999999999998</v>
      </c>
    </row>
    <row r="146" spans="1:29">
      <c r="C146" s="700" t="s">
        <v>877</v>
      </c>
      <c r="D146" s="689"/>
      <c r="E146" s="690"/>
      <c r="F146" s="690"/>
      <c r="G146" s="690"/>
      <c r="H146" s="689"/>
      <c r="I146" s="690"/>
      <c r="J146" s="689"/>
      <c r="K146" s="707"/>
      <c r="L146" s="689"/>
      <c r="M146" s="693"/>
      <c r="N146" s="689"/>
      <c r="O146" s="689"/>
      <c r="P146" s="689"/>
      <c r="Q146" s="689"/>
      <c r="R146" s="689"/>
      <c r="S146" s="689"/>
      <c r="T146" s="689"/>
      <c r="U146" s="689"/>
      <c r="V146" s="689"/>
      <c r="W146" s="689"/>
    </row>
    <row r="147" spans="1:29">
      <c r="A147" s="673">
        <v>126</v>
      </c>
      <c r="C147" s="688" t="s">
        <v>932</v>
      </c>
      <c r="D147" s="689"/>
      <c r="E147" s="690" t="s">
        <v>912</v>
      </c>
      <c r="F147" s="690"/>
      <c r="G147" s="690" t="s">
        <v>977</v>
      </c>
      <c r="H147" s="689"/>
      <c r="I147" s="691" t="s">
        <v>978</v>
      </c>
      <c r="J147" s="689"/>
      <c r="K147" s="707">
        <v>0</v>
      </c>
      <c r="L147" s="689"/>
      <c r="M147" s="694">
        <v>50984</v>
      </c>
      <c r="N147" s="689"/>
      <c r="O147" s="695">
        <v>0</v>
      </c>
      <c r="P147" s="689"/>
      <c r="Q147" s="696">
        <f t="shared" ref="Q147:Q148" si="32">K147*O147</f>
        <v>0</v>
      </c>
      <c r="R147" s="689"/>
      <c r="S147" s="709">
        <v>0.33</v>
      </c>
      <c r="T147" s="689"/>
      <c r="U147" s="698">
        <f t="shared" ref="U147:U148" si="33">S147*M147</f>
        <v>16824.72</v>
      </c>
      <c r="V147" s="689"/>
      <c r="W147" s="696">
        <f t="shared" ref="W147:W148" si="34">U147+Q147</f>
        <v>16824.72</v>
      </c>
      <c r="Y147" s="699">
        <v>1.4E-3</v>
      </c>
      <c r="AA147" s="663">
        <f t="shared" ref="AA147:AA148" si="35">Y147*M147</f>
        <v>71.377600000000001</v>
      </c>
      <c r="AC147" s="673" t="s">
        <v>912</v>
      </c>
    </row>
    <row r="148" spans="1:29">
      <c r="A148" s="673">
        <v>127</v>
      </c>
      <c r="C148" s="688" t="s">
        <v>952</v>
      </c>
      <c r="D148" s="689"/>
      <c r="E148" s="690" t="s">
        <v>912</v>
      </c>
      <c r="F148" s="690"/>
      <c r="G148" s="690" t="s">
        <v>977</v>
      </c>
      <c r="H148" s="689"/>
      <c r="I148" s="691" t="s">
        <v>979</v>
      </c>
      <c r="J148" s="689"/>
      <c r="K148" s="707">
        <v>0</v>
      </c>
      <c r="L148" s="689"/>
      <c r="M148" s="694">
        <v>235</v>
      </c>
      <c r="N148" s="689"/>
      <c r="O148" s="695">
        <v>0</v>
      </c>
      <c r="P148" s="689"/>
      <c r="Q148" s="696">
        <f t="shared" si="32"/>
        <v>0</v>
      </c>
      <c r="R148" s="689"/>
      <c r="S148" s="709">
        <v>0.33</v>
      </c>
      <c r="T148" s="689"/>
      <c r="U148" s="698">
        <f t="shared" si="33"/>
        <v>77.55</v>
      </c>
      <c r="V148" s="689"/>
      <c r="W148" s="696">
        <f t="shared" si="34"/>
        <v>77.55</v>
      </c>
      <c r="Y148" s="699">
        <v>1.4E-3</v>
      </c>
      <c r="AA148" s="663">
        <f t="shared" si="35"/>
        <v>0.32900000000000001</v>
      </c>
      <c r="AC148" s="673" t="s">
        <v>912</v>
      </c>
    </row>
    <row r="149" spans="1:29">
      <c r="A149" s="673">
        <v>128</v>
      </c>
      <c r="C149" s="700" t="s">
        <v>982</v>
      </c>
      <c r="D149" s="689"/>
      <c r="E149" s="690"/>
      <c r="F149" s="690"/>
      <c r="G149" s="690"/>
      <c r="H149" s="689"/>
      <c r="I149" s="690"/>
      <c r="J149" s="689"/>
      <c r="K149" s="701">
        <f>SUM(K147:K148)</f>
        <v>0</v>
      </c>
      <c r="L149" s="689"/>
      <c r="M149" s="701">
        <f>SUM(M147:M148)</f>
        <v>51219</v>
      </c>
      <c r="N149" s="689"/>
      <c r="O149" s="711"/>
      <c r="P149" s="689"/>
      <c r="Q149" s="710">
        <f>SUM(Q147:Q148)</f>
        <v>0</v>
      </c>
      <c r="R149" s="689"/>
      <c r="S149" s="689"/>
      <c r="T149" s="689"/>
      <c r="U149" s="710">
        <f>SUM(U147:U148)</f>
        <v>16902.27</v>
      </c>
      <c r="V149" s="689"/>
      <c r="W149" s="710">
        <f>SUM(W147:W148)</f>
        <v>16902.27</v>
      </c>
      <c r="AA149" s="703">
        <f>SUM(AA147:AA148)</f>
        <v>71.706599999999995</v>
      </c>
    </row>
    <row r="150" spans="1:29">
      <c r="C150" s="700"/>
      <c r="D150" s="689"/>
      <c r="E150" s="690"/>
      <c r="F150" s="690"/>
      <c r="G150" s="690"/>
      <c r="H150" s="689"/>
      <c r="I150" s="690"/>
      <c r="J150" s="689"/>
      <c r="K150" s="690"/>
      <c r="L150" s="689"/>
      <c r="M150" s="690"/>
      <c r="N150" s="689"/>
      <c r="O150" s="711"/>
      <c r="P150" s="689"/>
      <c r="Q150" s="690"/>
      <c r="R150" s="689"/>
      <c r="S150" s="689"/>
      <c r="T150" s="689"/>
      <c r="U150" s="690"/>
      <c r="V150" s="689"/>
      <c r="W150" s="690"/>
    </row>
    <row r="151" spans="1:29">
      <c r="C151" s="677" t="s">
        <v>986</v>
      </c>
      <c r="D151" s="677"/>
      <c r="E151" s="678"/>
      <c r="F151" s="678"/>
      <c r="G151" s="678"/>
      <c r="H151" s="677"/>
      <c r="I151" s="678"/>
      <c r="J151" s="677"/>
      <c r="K151" s="679"/>
      <c r="L151" s="677"/>
      <c r="M151" s="680"/>
      <c r="N151" s="677"/>
      <c r="O151" s="677"/>
      <c r="P151" s="677"/>
      <c r="Q151" s="677"/>
      <c r="R151" s="677"/>
      <c r="S151" s="677"/>
      <c r="T151" s="677"/>
      <c r="U151" s="677"/>
      <c r="V151" s="677"/>
      <c r="W151" s="677"/>
      <c r="X151" s="677"/>
      <c r="Y151" s="677"/>
      <c r="Z151" s="677"/>
      <c r="AA151" s="677"/>
      <c r="AB151" s="677"/>
      <c r="AC151" s="677"/>
    </row>
    <row r="152" spans="1:29" s="682" customFormat="1">
      <c r="A152" s="673"/>
      <c r="C152" s="683" t="s">
        <v>876</v>
      </c>
      <c r="D152" s="684"/>
      <c r="E152" s="685"/>
      <c r="F152" s="685"/>
      <c r="G152" s="685"/>
      <c r="H152" s="684"/>
      <c r="I152" s="685"/>
      <c r="J152" s="684"/>
      <c r="K152" s="686"/>
      <c r="L152" s="684"/>
      <c r="M152" s="687"/>
      <c r="N152" s="684"/>
      <c r="O152" s="684"/>
      <c r="P152" s="684"/>
      <c r="Q152" s="684"/>
      <c r="R152" s="684"/>
      <c r="S152" s="684"/>
      <c r="T152" s="684"/>
      <c r="U152" s="684"/>
      <c r="V152" s="684"/>
      <c r="W152" s="684"/>
      <c r="X152" s="684"/>
      <c r="Y152" s="684"/>
      <c r="Z152" s="684"/>
      <c r="AA152" s="684"/>
      <c r="AB152" s="684"/>
      <c r="AC152" s="684"/>
    </row>
    <row r="153" spans="1:29">
      <c r="A153" s="673">
        <v>129</v>
      </c>
      <c r="C153" s="688" t="s">
        <v>911</v>
      </c>
      <c r="D153" s="689"/>
      <c r="E153" s="690" t="s">
        <v>912</v>
      </c>
      <c r="F153" s="690"/>
      <c r="G153" s="690" t="s">
        <v>913</v>
      </c>
      <c r="H153" s="689"/>
      <c r="I153" s="691" t="s">
        <v>914</v>
      </c>
      <c r="J153" s="689"/>
      <c r="K153" s="692">
        <v>105750</v>
      </c>
      <c r="L153" s="689"/>
      <c r="M153" s="694">
        <v>1713682</v>
      </c>
      <c r="N153" s="689"/>
      <c r="O153" s="695">
        <v>10.0375</v>
      </c>
      <c r="P153" s="689"/>
      <c r="Q153" s="696">
        <f t="shared" ref="Q153:Q172" si="36">K153*O153</f>
        <v>1061465.625</v>
      </c>
      <c r="R153" s="689"/>
      <c r="S153" s="697">
        <v>0</v>
      </c>
      <c r="T153" s="689"/>
      <c r="U153" s="698">
        <f t="shared" ref="U153:U172" si="37">S153*M153</f>
        <v>0</v>
      </c>
      <c r="V153" s="689"/>
      <c r="W153" s="696">
        <f t="shared" ref="W153:W172" si="38">U153+Q153</f>
        <v>1061465.625</v>
      </c>
      <c r="Y153" s="699">
        <v>1.4E-3</v>
      </c>
      <c r="AA153" s="663">
        <f t="shared" ref="AA153:AA172" si="39">Y153*M153</f>
        <v>2399.1547999999998</v>
      </c>
      <c r="AC153" s="673" t="s">
        <v>912</v>
      </c>
    </row>
    <row r="154" spans="1:29">
      <c r="A154" s="673">
        <v>130</v>
      </c>
      <c r="C154" s="688" t="s">
        <v>915</v>
      </c>
      <c r="D154" s="689"/>
      <c r="E154" s="690" t="s">
        <v>912</v>
      </c>
      <c r="F154" s="690"/>
      <c r="G154" s="690" t="s">
        <v>913</v>
      </c>
      <c r="H154" s="689"/>
      <c r="I154" s="691" t="s">
        <v>916</v>
      </c>
      <c r="J154" s="689"/>
      <c r="K154" s="692">
        <v>200</v>
      </c>
      <c r="L154" s="689"/>
      <c r="M154" s="694">
        <v>870</v>
      </c>
      <c r="N154" s="689"/>
      <c r="O154" s="695">
        <v>10.0375</v>
      </c>
      <c r="P154" s="689"/>
      <c r="Q154" s="696">
        <f t="shared" si="36"/>
        <v>2007.5</v>
      </c>
      <c r="R154" s="689"/>
      <c r="S154" s="697">
        <v>0</v>
      </c>
      <c r="T154" s="689"/>
      <c r="U154" s="698">
        <f t="shared" si="37"/>
        <v>0</v>
      </c>
      <c r="V154" s="689"/>
      <c r="W154" s="696">
        <f t="shared" si="38"/>
        <v>2007.5</v>
      </c>
      <c r="Y154" s="699">
        <v>1.4E-3</v>
      </c>
      <c r="AA154" s="663">
        <f t="shared" si="39"/>
        <v>1.218</v>
      </c>
      <c r="AC154" s="673" t="s">
        <v>912</v>
      </c>
    </row>
    <row r="155" spans="1:29">
      <c r="A155" s="673">
        <v>131</v>
      </c>
      <c r="C155" s="688" t="s">
        <v>917</v>
      </c>
      <c r="D155" s="689"/>
      <c r="E155" s="690" t="s">
        <v>912</v>
      </c>
      <c r="F155" s="690"/>
      <c r="G155" s="690" t="s">
        <v>913</v>
      </c>
      <c r="H155" s="689"/>
      <c r="I155" s="691" t="s">
        <v>918</v>
      </c>
      <c r="J155" s="689"/>
      <c r="K155" s="692">
        <v>1200</v>
      </c>
      <c r="L155" s="689"/>
      <c r="M155" s="694">
        <v>2940</v>
      </c>
      <c r="N155" s="689"/>
      <c r="O155" s="695">
        <v>10.0375</v>
      </c>
      <c r="P155" s="689"/>
      <c r="Q155" s="696">
        <f t="shared" si="36"/>
        <v>12045</v>
      </c>
      <c r="R155" s="689"/>
      <c r="S155" s="697">
        <v>0</v>
      </c>
      <c r="T155" s="689"/>
      <c r="U155" s="698">
        <f t="shared" si="37"/>
        <v>0</v>
      </c>
      <c r="V155" s="689"/>
      <c r="W155" s="696">
        <f t="shared" si="38"/>
        <v>12045</v>
      </c>
      <c r="Y155" s="699">
        <v>1.4E-3</v>
      </c>
      <c r="AA155" s="663">
        <f t="shared" si="39"/>
        <v>4.1159999999999997</v>
      </c>
      <c r="AC155" s="673" t="s">
        <v>912</v>
      </c>
    </row>
    <row r="156" spans="1:29">
      <c r="A156" s="673">
        <v>132</v>
      </c>
      <c r="C156" s="688" t="s">
        <v>919</v>
      </c>
      <c r="D156" s="689"/>
      <c r="E156" s="690" t="s">
        <v>912</v>
      </c>
      <c r="F156" s="690"/>
      <c r="G156" s="690" t="s">
        <v>913</v>
      </c>
      <c r="H156" s="689"/>
      <c r="I156" s="691" t="s">
        <v>920</v>
      </c>
      <c r="J156" s="689"/>
      <c r="K156" s="692">
        <v>1550</v>
      </c>
      <c r="L156" s="689"/>
      <c r="M156" s="694">
        <v>0</v>
      </c>
      <c r="N156" s="689"/>
      <c r="O156" s="695">
        <v>10.0375</v>
      </c>
      <c r="P156" s="689"/>
      <c r="Q156" s="696">
        <f t="shared" si="36"/>
        <v>15558.125</v>
      </c>
      <c r="R156" s="689"/>
      <c r="S156" s="697">
        <v>0</v>
      </c>
      <c r="T156" s="689"/>
      <c r="U156" s="698">
        <f t="shared" si="37"/>
        <v>0</v>
      </c>
      <c r="V156" s="689"/>
      <c r="W156" s="696">
        <f t="shared" si="38"/>
        <v>15558.125</v>
      </c>
      <c r="Y156" s="699">
        <v>1.4E-3</v>
      </c>
      <c r="AA156" s="663">
        <f t="shared" si="39"/>
        <v>0</v>
      </c>
      <c r="AC156" s="673" t="s">
        <v>912</v>
      </c>
    </row>
    <row r="157" spans="1:29">
      <c r="A157" s="673">
        <v>133</v>
      </c>
      <c r="C157" s="688" t="s">
        <v>911</v>
      </c>
      <c r="D157" s="689"/>
      <c r="E157" s="690" t="s">
        <v>912</v>
      </c>
      <c r="F157" s="690"/>
      <c r="G157" s="690" t="s">
        <v>913</v>
      </c>
      <c r="H157" s="689"/>
      <c r="I157" s="691" t="s">
        <v>921</v>
      </c>
      <c r="J157" s="689"/>
      <c r="K157" s="692">
        <v>10000</v>
      </c>
      <c r="L157" s="689"/>
      <c r="M157" s="694">
        <v>294000</v>
      </c>
      <c r="N157" s="689"/>
      <c r="O157" s="695">
        <v>10.0375</v>
      </c>
      <c r="P157" s="689"/>
      <c r="Q157" s="696">
        <f t="shared" si="36"/>
        <v>100375</v>
      </c>
      <c r="R157" s="689"/>
      <c r="S157" s="697">
        <v>0</v>
      </c>
      <c r="T157" s="689"/>
      <c r="U157" s="698">
        <f t="shared" si="37"/>
        <v>0</v>
      </c>
      <c r="V157" s="689"/>
      <c r="W157" s="696">
        <f t="shared" si="38"/>
        <v>100375</v>
      </c>
      <c r="Y157" s="699">
        <v>1.4E-3</v>
      </c>
      <c r="AA157" s="663">
        <f t="shared" si="39"/>
        <v>411.6</v>
      </c>
      <c r="AC157" s="673" t="s">
        <v>912</v>
      </c>
    </row>
    <row r="158" spans="1:29">
      <c r="A158" s="673">
        <v>134</v>
      </c>
      <c r="C158" s="688" t="s">
        <v>922</v>
      </c>
      <c r="D158" s="689"/>
      <c r="E158" s="690" t="s">
        <v>912</v>
      </c>
      <c r="F158" s="690"/>
      <c r="G158" s="690" t="s">
        <v>913</v>
      </c>
      <c r="H158" s="689"/>
      <c r="I158" s="691" t="s">
        <v>923</v>
      </c>
      <c r="J158" s="689"/>
      <c r="K158" s="692">
        <v>200</v>
      </c>
      <c r="L158" s="689"/>
      <c r="M158" s="694">
        <v>2940</v>
      </c>
      <c r="N158" s="689"/>
      <c r="O158" s="695">
        <v>10.0375</v>
      </c>
      <c r="P158" s="689"/>
      <c r="Q158" s="696">
        <f t="shared" si="36"/>
        <v>2007.5</v>
      </c>
      <c r="R158" s="689"/>
      <c r="S158" s="697">
        <v>0</v>
      </c>
      <c r="T158" s="689"/>
      <c r="U158" s="698">
        <f t="shared" si="37"/>
        <v>0</v>
      </c>
      <c r="V158" s="689"/>
      <c r="W158" s="696">
        <f t="shared" si="38"/>
        <v>2007.5</v>
      </c>
      <c r="Y158" s="699">
        <v>1.4E-3</v>
      </c>
      <c r="AA158" s="663">
        <f t="shared" si="39"/>
        <v>4.1159999999999997</v>
      </c>
      <c r="AC158" s="673" t="s">
        <v>912</v>
      </c>
    </row>
    <row r="159" spans="1:29">
      <c r="A159" s="673">
        <v>135</v>
      </c>
      <c r="C159" s="688" t="s">
        <v>924</v>
      </c>
      <c r="D159" s="689"/>
      <c r="E159" s="690" t="s">
        <v>912</v>
      </c>
      <c r="F159" s="690"/>
      <c r="G159" s="690" t="s">
        <v>913</v>
      </c>
      <c r="H159" s="689"/>
      <c r="I159" s="691" t="s">
        <v>925</v>
      </c>
      <c r="J159" s="689"/>
      <c r="K159" s="692">
        <v>550</v>
      </c>
      <c r="L159" s="689"/>
      <c r="M159" s="694">
        <v>14069</v>
      </c>
      <c r="N159" s="689"/>
      <c r="O159" s="695">
        <v>10.0375</v>
      </c>
      <c r="P159" s="689"/>
      <c r="Q159" s="696">
        <f t="shared" si="36"/>
        <v>5520.625</v>
      </c>
      <c r="R159" s="689"/>
      <c r="S159" s="697">
        <v>0</v>
      </c>
      <c r="T159" s="689"/>
      <c r="U159" s="698">
        <f t="shared" si="37"/>
        <v>0</v>
      </c>
      <c r="V159" s="689"/>
      <c r="W159" s="696">
        <f t="shared" si="38"/>
        <v>5520.625</v>
      </c>
      <c r="Y159" s="699">
        <v>1.4E-3</v>
      </c>
      <c r="AA159" s="663">
        <f t="shared" si="39"/>
        <v>19.6966</v>
      </c>
      <c r="AC159" s="673" t="s">
        <v>912</v>
      </c>
    </row>
    <row r="160" spans="1:29">
      <c r="A160" s="673">
        <v>136</v>
      </c>
      <c r="C160" s="688" t="s">
        <v>911</v>
      </c>
      <c r="D160" s="689"/>
      <c r="E160" s="690" t="s">
        <v>912</v>
      </c>
      <c r="F160" s="690"/>
      <c r="G160" s="690" t="s">
        <v>913</v>
      </c>
      <c r="H160" s="689"/>
      <c r="I160" s="691" t="s">
        <v>926</v>
      </c>
      <c r="J160" s="689"/>
      <c r="K160" s="692">
        <v>5661</v>
      </c>
      <c r="L160" s="689"/>
      <c r="M160" s="694">
        <v>166440</v>
      </c>
      <c r="N160" s="689"/>
      <c r="O160" s="695">
        <v>10.0375</v>
      </c>
      <c r="P160" s="689"/>
      <c r="Q160" s="696">
        <f t="shared" si="36"/>
        <v>56822.287499999999</v>
      </c>
      <c r="R160" s="689"/>
      <c r="S160" s="697">
        <v>0</v>
      </c>
      <c r="T160" s="689"/>
      <c r="U160" s="698">
        <f t="shared" si="37"/>
        <v>0</v>
      </c>
      <c r="V160" s="689"/>
      <c r="W160" s="696">
        <f t="shared" si="38"/>
        <v>56822.287499999999</v>
      </c>
      <c r="Y160" s="699">
        <v>1.4E-3</v>
      </c>
      <c r="AA160" s="663">
        <f t="shared" si="39"/>
        <v>233.01599999999999</v>
      </c>
      <c r="AC160" s="673" t="s">
        <v>912</v>
      </c>
    </row>
    <row r="161" spans="1:29">
      <c r="A161" s="673">
        <v>137</v>
      </c>
      <c r="C161" s="688" t="s">
        <v>911</v>
      </c>
      <c r="D161" s="689"/>
      <c r="E161" s="690" t="s">
        <v>912</v>
      </c>
      <c r="F161" s="690"/>
      <c r="G161" s="690" t="s">
        <v>913</v>
      </c>
      <c r="H161" s="689"/>
      <c r="I161" s="691" t="s">
        <v>927</v>
      </c>
      <c r="J161" s="689"/>
      <c r="K161" s="692">
        <v>5690</v>
      </c>
      <c r="L161" s="689"/>
      <c r="M161" s="694">
        <v>167280</v>
      </c>
      <c r="N161" s="689"/>
      <c r="O161" s="695">
        <v>10.0375</v>
      </c>
      <c r="P161" s="689"/>
      <c r="Q161" s="696">
        <f t="shared" si="36"/>
        <v>57113.375</v>
      </c>
      <c r="R161" s="689"/>
      <c r="S161" s="697">
        <v>0</v>
      </c>
      <c r="T161" s="689"/>
      <c r="U161" s="698">
        <f t="shared" si="37"/>
        <v>0</v>
      </c>
      <c r="V161" s="689"/>
      <c r="W161" s="696">
        <f t="shared" si="38"/>
        <v>57113.375</v>
      </c>
      <c r="Y161" s="699">
        <v>1.4E-3</v>
      </c>
      <c r="AA161" s="663">
        <f t="shared" si="39"/>
        <v>234.19200000000001</v>
      </c>
      <c r="AC161" s="673" t="s">
        <v>912</v>
      </c>
    </row>
    <row r="162" spans="1:29">
      <c r="A162" s="673">
        <v>138</v>
      </c>
      <c r="C162" s="688" t="s">
        <v>928</v>
      </c>
      <c r="D162" s="689"/>
      <c r="E162" s="690" t="s">
        <v>912</v>
      </c>
      <c r="F162" s="690"/>
      <c r="G162" s="690" t="s">
        <v>913</v>
      </c>
      <c r="H162" s="689"/>
      <c r="I162" s="691" t="s">
        <v>929</v>
      </c>
      <c r="J162" s="689"/>
      <c r="K162" s="692">
        <v>8000</v>
      </c>
      <c r="L162" s="689"/>
      <c r="M162" s="694">
        <v>0</v>
      </c>
      <c r="N162" s="689"/>
      <c r="O162" s="695">
        <v>10.0375</v>
      </c>
      <c r="P162" s="689"/>
      <c r="Q162" s="696">
        <f t="shared" si="36"/>
        <v>80300</v>
      </c>
      <c r="R162" s="689"/>
      <c r="S162" s="697">
        <v>0</v>
      </c>
      <c r="T162" s="689"/>
      <c r="U162" s="698">
        <f t="shared" si="37"/>
        <v>0</v>
      </c>
      <c r="V162" s="689"/>
      <c r="W162" s="696">
        <f t="shared" si="38"/>
        <v>80300</v>
      </c>
      <c r="Y162" s="699">
        <v>1.4E-3</v>
      </c>
      <c r="AA162" s="663">
        <f t="shared" si="39"/>
        <v>0</v>
      </c>
      <c r="AC162" s="673" t="s">
        <v>912</v>
      </c>
    </row>
    <row r="163" spans="1:29">
      <c r="A163" s="673">
        <v>139</v>
      </c>
      <c r="C163" s="688" t="s">
        <v>928</v>
      </c>
      <c r="D163" s="689"/>
      <c r="E163" s="690" t="s">
        <v>912</v>
      </c>
      <c r="F163" s="690"/>
      <c r="G163" s="690" t="s">
        <v>913</v>
      </c>
      <c r="H163" s="689"/>
      <c r="I163" s="691" t="s">
        <v>930</v>
      </c>
      <c r="J163" s="689"/>
      <c r="K163" s="692">
        <v>16500</v>
      </c>
      <c r="L163" s="689"/>
      <c r="M163" s="694">
        <v>0</v>
      </c>
      <c r="N163" s="689"/>
      <c r="O163" s="695">
        <v>10.0375</v>
      </c>
      <c r="P163" s="689"/>
      <c r="Q163" s="696">
        <f t="shared" si="36"/>
        <v>165618.75</v>
      </c>
      <c r="R163" s="689"/>
      <c r="S163" s="697">
        <v>0</v>
      </c>
      <c r="T163" s="689"/>
      <c r="U163" s="698">
        <f t="shared" si="37"/>
        <v>0</v>
      </c>
      <c r="V163" s="689"/>
      <c r="W163" s="696">
        <f t="shared" si="38"/>
        <v>165618.75</v>
      </c>
      <c r="Y163" s="699">
        <v>1.4E-3</v>
      </c>
      <c r="AA163" s="663">
        <f t="shared" si="39"/>
        <v>0</v>
      </c>
      <c r="AC163" s="673" t="s">
        <v>912</v>
      </c>
    </row>
    <row r="164" spans="1:29">
      <c r="A164" s="673">
        <v>140</v>
      </c>
      <c r="C164" s="688" t="s">
        <v>911</v>
      </c>
      <c r="D164" s="689"/>
      <c r="E164" s="690" t="s">
        <v>912</v>
      </c>
      <c r="F164" s="690"/>
      <c r="G164" s="690" t="s">
        <v>913</v>
      </c>
      <c r="H164" s="689"/>
      <c r="I164" s="691" t="s">
        <v>931</v>
      </c>
      <c r="J164" s="689"/>
      <c r="K164" s="692">
        <v>5722</v>
      </c>
      <c r="L164" s="689"/>
      <c r="M164" s="694">
        <v>168240</v>
      </c>
      <c r="N164" s="689"/>
      <c r="O164" s="695">
        <v>10.0375</v>
      </c>
      <c r="P164" s="689"/>
      <c r="Q164" s="696">
        <f t="shared" si="36"/>
        <v>57434.574999999997</v>
      </c>
      <c r="R164" s="689"/>
      <c r="S164" s="697">
        <v>0</v>
      </c>
      <c r="T164" s="689"/>
      <c r="U164" s="698">
        <f t="shared" si="37"/>
        <v>0</v>
      </c>
      <c r="V164" s="689"/>
      <c r="W164" s="696">
        <f t="shared" si="38"/>
        <v>57434.574999999997</v>
      </c>
      <c r="Y164" s="699">
        <v>1.4E-3</v>
      </c>
      <c r="AA164" s="663">
        <f t="shared" si="39"/>
        <v>235.536</v>
      </c>
      <c r="AC164" s="673" t="s">
        <v>912</v>
      </c>
    </row>
    <row r="165" spans="1:29">
      <c r="A165" s="673">
        <v>141</v>
      </c>
      <c r="C165" s="688" t="s">
        <v>932</v>
      </c>
      <c r="D165" s="689"/>
      <c r="E165" s="690" t="s">
        <v>912</v>
      </c>
      <c r="F165" s="690"/>
      <c r="G165" s="690" t="s">
        <v>913</v>
      </c>
      <c r="H165" s="689"/>
      <c r="I165" s="691" t="s">
        <v>933</v>
      </c>
      <c r="J165" s="689"/>
      <c r="K165" s="692">
        <v>760</v>
      </c>
      <c r="L165" s="689"/>
      <c r="M165" s="694">
        <v>22350</v>
      </c>
      <c r="N165" s="689"/>
      <c r="O165" s="695">
        <v>10.0375</v>
      </c>
      <c r="P165" s="689"/>
      <c r="Q165" s="696">
        <f t="shared" si="36"/>
        <v>7628.5</v>
      </c>
      <c r="R165" s="689"/>
      <c r="S165" s="697">
        <v>0</v>
      </c>
      <c r="T165" s="689"/>
      <c r="U165" s="698">
        <f t="shared" si="37"/>
        <v>0</v>
      </c>
      <c r="V165" s="689"/>
      <c r="W165" s="696">
        <f t="shared" si="38"/>
        <v>7628.5</v>
      </c>
      <c r="Y165" s="699">
        <v>1.4E-3</v>
      </c>
      <c r="AA165" s="663">
        <f t="shared" si="39"/>
        <v>31.29</v>
      </c>
      <c r="AC165" s="673" t="s">
        <v>912</v>
      </c>
    </row>
    <row r="166" spans="1:29">
      <c r="A166" s="673">
        <v>142</v>
      </c>
      <c r="C166" s="688" t="s">
        <v>922</v>
      </c>
      <c r="D166" s="689"/>
      <c r="E166" s="690" t="s">
        <v>912</v>
      </c>
      <c r="F166" s="690"/>
      <c r="G166" s="690" t="s">
        <v>913</v>
      </c>
      <c r="H166" s="689"/>
      <c r="I166" s="691" t="s">
        <v>934</v>
      </c>
      <c r="J166" s="689"/>
      <c r="K166" s="692">
        <v>150</v>
      </c>
      <c r="L166" s="689"/>
      <c r="M166" s="694">
        <v>0</v>
      </c>
      <c r="N166" s="689"/>
      <c r="O166" s="695">
        <v>10.0375</v>
      </c>
      <c r="P166" s="689"/>
      <c r="Q166" s="696">
        <f t="shared" si="36"/>
        <v>1505.625</v>
      </c>
      <c r="R166" s="689"/>
      <c r="S166" s="697">
        <v>0</v>
      </c>
      <c r="T166" s="689"/>
      <c r="U166" s="698">
        <f t="shared" si="37"/>
        <v>0</v>
      </c>
      <c r="V166" s="689"/>
      <c r="W166" s="696">
        <f t="shared" si="38"/>
        <v>1505.625</v>
      </c>
      <c r="Y166" s="699">
        <v>1.4E-3</v>
      </c>
      <c r="AA166" s="663">
        <f t="shared" si="39"/>
        <v>0</v>
      </c>
      <c r="AC166" s="673" t="s">
        <v>912</v>
      </c>
    </row>
    <row r="167" spans="1:29">
      <c r="A167" s="673">
        <v>143</v>
      </c>
      <c r="C167" s="688" t="s">
        <v>922</v>
      </c>
      <c r="D167" s="689"/>
      <c r="E167" s="690" t="s">
        <v>912</v>
      </c>
      <c r="F167" s="690"/>
      <c r="G167" s="690" t="s">
        <v>913</v>
      </c>
      <c r="H167" s="689"/>
      <c r="I167" s="691" t="s">
        <v>935</v>
      </c>
      <c r="J167" s="689"/>
      <c r="K167" s="692">
        <v>250</v>
      </c>
      <c r="L167" s="689"/>
      <c r="M167" s="694">
        <v>3795</v>
      </c>
      <c r="N167" s="689"/>
      <c r="O167" s="695">
        <v>10.0375</v>
      </c>
      <c r="P167" s="689"/>
      <c r="Q167" s="696">
        <f t="shared" si="36"/>
        <v>2509.375</v>
      </c>
      <c r="R167" s="689"/>
      <c r="S167" s="697">
        <v>0</v>
      </c>
      <c r="T167" s="689"/>
      <c r="U167" s="698">
        <f t="shared" si="37"/>
        <v>0</v>
      </c>
      <c r="V167" s="689"/>
      <c r="W167" s="696">
        <f t="shared" si="38"/>
        <v>2509.375</v>
      </c>
      <c r="Y167" s="699">
        <v>1.4E-3</v>
      </c>
      <c r="AA167" s="663">
        <f t="shared" si="39"/>
        <v>5.3129999999999997</v>
      </c>
      <c r="AC167" s="673" t="s">
        <v>912</v>
      </c>
    </row>
    <row r="168" spans="1:29">
      <c r="A168" s="673">
        <v>144</v>
      </c>
      <c r="C168" s="688" t="s">
        <v>922</v>
      </c>
      <c r="D168" s="689"/>
      <c r="E168" s="690" t="s">
        <v>912</v>
      </c>
      <c r="F168" s="690"/>
      <c r="G168" s="690" t="s">
        <v>913</v>
      </c>
      <c r="H168" s="689"/>
      <c r="I168" s="691" t="s">
        <v>936</v>
      </c>
      <c r="J168" s="689"/>
      <c r="K168" s="692">
        <v>400</v>
      </c>
      <c r="L168" s="689"/>
      <c r="M168" s="694">
        <v>11760</v>
      </c>
      <c r="N168" s="689"/>
      <c r="O168" s="695">
        <v>10.0375</v>
      </c>
      <c r="P168" s="689"/>
      <c r="Q168" s="696">
        <f t="shared" si="36"/>
        <v>4015</v>
      </c>
      <c r="R168" s="689"/>
      <c r="S168" s="697">
        <v>0</v>
      </c>
      <c r="T168" s="689"/>
      <c r="U168" s="698">
        <f t="shared" si="37"/>
        <v>0</v>
      </c>
      <c r="V168" s="689"/>
      <c r="W168" s="696">
        <f t="shared" si="38"/>
        <v>4015</v>
      </c>
      <c r="Y168" s="699">
        <v>1.4E-3</v>
      </c>
      <c r="AA168" s="663">
        <f t="shared" si="39"/>
        <v>16.463999999999999</v>
      </c>
      <c r="AC168" s="673" t="s">
        <v>912</v>
      </c>
    </row>
    <row r="169" spans="1:29">
      <c r="A169" s="673">
        <v>145</v>
      </c>
      <c r="C169" s="688" t="s">
        <v>911</v>
      </c>
      <c r="D169" s="689"/>
      <c r="E169" s="690" t="s">
        <v>912</v>
      </c>
      <c r="F169" s="690"/>
      <c r="G169" s="690" t="s">
        <v>913</v>
      </c>
      <c r="H169" s="689"/>
      <c r="I169" s="691" t="s">
        <v>937</v>
      </c>
      <c r="J169" s="689"/>
      <c r="K169" s="692">
        <v>40000</v>
      </c>
      <c r="L169" s="689"/>
      <c r="M169" s="694">
        <v>147000</v>
      </c>
      <c r="N169" s="689"/>
      <c r="O169" s="695">
        <v>10.0375</v>
      </c>
      <c r="P169" s="689"/>
      <c r="Q169" s="696">
        <f t="shared" si="36"/>
        <v>401500</v>
      </c>
      <c r="R169" s="689"/>
      <c r="S169" s="697">
        <v>0</v>
      </c>
      <c r="T169" s="689"/>
      <c r="U169" s="698">
        <f t="shared" si="37"/>
        <v>0</v>
      </c>
      <c r="V169" s="689"/>
      <c r="W169" s="696">
        <f t="shared" si="38"/>
        <v>401500</v>
      </c>
      <c r="Y169" s="699">
        <v>1.4E-3</v>
      </c>
      <c r="AA169" s="663">
        <f t="shared" si="39"/>
        <v>205.8</v>
      </c>
      <c r="AC169" s="673" t="s">
        <v>912</v>
      </c>
    </row>
    <row r="170" spans="1:29">
      <c r="A170" s="673">
        <v>146</v>
      </c>
      <c r="C170" s="688" t="s">
        <v>938</v>
      </c>
      <c r="D170" s="689"/>
      <c r="E170" s="690" t="s">
        <v>912</v>
      </c>
      <c r="F170" s="690"/>
      <c r="G170" s="690" t="s">
        <v>913</v>
      </c>
      <c r="H170" s="689"/>
      <c r="I170" s="691" t="s">
        <v>939</v>
      </c>
      <c r="J170" s="689"/>
      <c r="K170" s="692">
        <v>800</v>
      </c>
      <c r="L170" s="689"/>
      <c r="M170" s="694">
        <v>23520</v>
      </c>
      <c r="N170" s="689"/>
      <c r="O170" s="695">
        <v>10.0375</v>
      </c>
      <c r="P170" s="689"/>
      <c r="Q170" s="696">
        <f t="shared" si="36"/>
        <v>8030</v>
      </c>
      <c r="R170" s="689"/>
      <c r="S170" s="697">
        <v>0</v>
      </c>
      <c r="T170" s="689"/>
      <c r="U170" s="698">
        <f t="shared" si="37"/>
        <v>0</v>
      </c>
      <c r="V170" s="689"/>
      <c r="W170" s="696">
        <f t="shared" si="38"/>
        <v>8030</v>
      </c>
      <c r="Y170" s="699">
        <v>1.4E-3</v>
      </c>
      <c r="AA170" s="663">
        <f t="shared" si="39"/>
        <v>32.927999999999997</v>
      </c>
      <c r="AC170" s="673" t="s">
        <v>912</v>
      </c>
    </row>
    <row r="171" spans="1:29">
      <c r="A171" s="673">
        <v>147</v>
      </c>
      <c r="C171" s="688" t="s">
        <v>938</v>
      </c>
      <c r="D171" s="689"/>
      <c r="E171" s="690" t="s">
        <v>912</v>
      </c>
      <c r="F171" s="690"/>
      <c r="G171" s="690" t="s">
        <v>913</v>
      </c>
      <c r="H171" s="689"/>
      <c r="I171" s="691" t="s">
        <v>940</v>
      </c>
      <c r="J171" s="689"/>
      <c r="K171" s="692">
        <v>200</v>
      </c>
      <c r="L171" s="689"/>
      <c r="M171" s="694">
        <v>5880</v>
      </c>
      <c r="N171" s="689"/>
      <c r="O171" s="695">
        <v>10.0375</v>
      </c>
      <c r="P171" s="689"/>
      <c r="Q171" s="696">
        <f t="shared" si="36"/>
        <v>2007.5</v>
      </c>
      <c r="R171" s="689"/>
      <c r="S171" s="697">
        <v>0</v>
      </c>
      <c r="T171" s="689"/>
      <c r="U171" s="698">
        <f t="shared" si="37"/>
        <v>0</v>
      </c>
      <c r="V171" s="689"/>
      <c r="W171" s="696">
        <f t="shared" si="38"/>
        <v>2007.5</v>
      </c>
      <c r="Y171" s="699">
        <v>1.4E-3</v>
      </c>
      <c r="AA171" s="663">
        <f t="shared" si="39"/>
        <v>8.2319999999999993</v>
      </c>
      <c r="AC171" s="673" t="s">
        <v>912</v>
      </c>
    </row>
    <row r="172" spans="1:29">
      <c r="A172" s="673">
        <v>148</v>
      </c>
      <c r="C172" s="688" t="s">
        <v>938</v>
      </c>
      <c r="D172" s="689"/>
      <c r="E172" s="690" t="s">
        <v>912</v>
      </c>
      <c r="F172" s="690"/>
      <c r="G172" s="690" t="s">
        <v>913</v>
      </c>
      <c r="H172" s="689"/>
      <c r="I172" s="691" t="s">
        <v>941</v>
      </c>
      <c r="J172" s="689"/>
      <c r="K172" s="692">
        <v>400</v>
      </c>
      <c r="L172" s="689"/>
      <c r="M172" s="694">
        <v>11760</v>
      </c>
      <c r="N172" s="689"/>
      <c r="O172" s="695">
        <v>10.0375</v>
      </c>
      <c r="P172" s="689"/>
      <c r="Q172" s="696">
        <f t="shared" si="36"/>
        <v>4015</v>
      </c>
      <c r="R172" s="689"/>
      <c r="S172" s="697">
        <v>0</v>
      </c>
      <c r="T172" s="689"/>
      <c r="U172" s="698">
        <f t="shared" si="37"/>
        <v>0</v>
      </c>
      <c r="V172" s="689"/>
      <c r="W172" s="696">
        <f t="shared" si="38"/>
        <v>4015</v>
      </c>
      <c r="Y172" s="699">
        <v>1.4E-3</v>
      </c>
      <c r="AA172" s="663">
        <f t="shared" si="39"/>
        <v>16.463999999999999</v>
      </c>
      <c r="AC172" s="673" t="s">
        <v>912</v>
      </c>
    </row>
    <row r="173" spans="1:29">
      <c r="A173" s="673">
        <v>149</v>
      </c>
      <c r="C173" s="700" t="s">
        <v>960</v>
      </c>
      <c r="D173" s="689"/>
      <c r="E173" s="690"/>
      <c r="F173" s="690"/>
      <c r="G173" s="690"/>
      <c r="H173" s="689"/>
      <c r="I173" s="690"/>
      <c r="J173" s="689"/>
      <c r="K173" s="712">
        <f>SUM(K153:K172)</f>
        <v>203983</v>
      </c>
      <c r="L173" s="689"/>
      <c r="M173" s="712">
        <f>SUM(M153:M172)</f>
        <v>2756526</v>
      </c>
      <c r="N173" s="689"/>
      <c r="O173" s="689"/>
      <c r="P173" s="689"/>
      <c r="Q173" s="703">
        <f>SUM(Q153:Q172)</f>
        <v>2047479.3625</v>
      </c>
      <c r="R173" s="689"/>
      <c r="S173" s="689"/>
      <c r="T173" s="689"/>
      <c r="U173" s="703">
        <f>SUM(U153:U172)</f>
        <v>0</v>
      </c>
      <c r="V173" s="689"/>
      <c r="W173" s="703">
        <f>SUM(W153:W172)</f>
        <v>2047479.3625</v>
      </c>
      <c r="AA173" s="703">
        <f>SUM(AA153:AA172)</f>
        <v>3859.1363999999999</v>
      </c>
    </row>
    <row r="174" spans="1:29">
      <c r="C174" s="700" t="s">
        <v>961</v>
      </c>
      <c r="D174" s="689"/>
      <c r="E174" s="690"/>
      <c r="F174" s="690"/>
      <c r="G174" s="690"/>
      <c r="H174" s="689"/>
      <c r="I174" s="690"/>
      <c r="J174" s="689"/>
      <c r="K174" s="707"/>
      <c r="L174" s="689"/>
      <c r="M174" s="693"/>
      <c r="N174" s="689"/>
      <c r="O174" s="689"/>
      <c r="P174" s="689"/>
      <c r="Q174" s="689"/>
      <c r="R174" s="689"/>
      <c r="S174" s="689"/>
      <c r="T174" s="689"/>
      <c r="U174" s="689"/>
      <c r="V174" s="689"/>
      <c r="W174" s="689"/>
    </row>
    <row r="175" spans="1:29">
      <c r="A175" s="673">
        <v>150</v>
      </c>
      <c r="C175" s="688" t="s">
        <v>932</v>
      </c>
      <c r="D175" s="689"/>
      <c r="E175" s="690" t="s">
        <v>912</v>
      </c>
      <c r="F175" s="690"/>
      <c r="G175" s="690" t="s">
        <v>962</v>
      </c>
      <c r="H175" s="689"/>
      <c r="I175" s="691" t="s">
        <v>965</v>
      </c>
      <c r="J175" s="689"/>
      <c r="K175" s="692">
        <v>0</v>
      </c>
      <c r="L175" s="689"/>
      <c r="M175" s="694">
        <v>4410</v>
      </c>
      <c r="N175" s="689"/>
      <c r="O175" s="695">
        <v>10.0375</v>
      </c>
      <c r="P175" s="689"/>
      <c r="Q175" s="696">
        <f t="shared" ref="Q175:Q182" si="40">K175*O175</f>
        <v>0</v>
      </c>
      <c r="R175" s="689"/>
      <c r="S175" s="697">
        <v>0</v>
      </c>
      <c r="T175" s="689"/>
      <c r="U175" s="698">
        <f t="shared" ref="U175:U182" si="41">S175*M175</f>
        <v>0</v>
      </c>
      <c r="V175" s="689"/>
      <c r="W175" s="696">
        <f t="shared" ref="W175:W182" si="42">U175+Q175</f>
        <v>0</v>
      </c>
      <c r="Y175" s="699">
        <v>1.4E-3</v>
      </c>
      <c r="AA175" s="663">
        <f t="shared" ref="AA175:AA182" si="43">Y175*M175</f>
        <v>6.1740000000000004</v>
      </c>
      <c r="AC175" s="673" t="s">
        <v>912</v>
      </c>
    </row>
    <row r="176" spans="1:29">
      <c r="A176" s="673">
        <v>151</v>
      </c>
      <c r="C176" s="688" t="s">
        <v>966</v>
      </c>
      <c r="D176" s="689"/>
      <c r="E176" s="690" t="s">
        <v>912</v>
      </c>
      <c r="F176" s="690"/>
      <c r="G176" s="690" t="s">
        <v>962</v>
      </c>
      <c r="H176" s="689"/>
      <c r="I176" s="691" t="s">
        <v>968</v>
      </c>
      <c r="J176" s="689"/>
      <c r="K176" s="692">
        <v>0</v>
      </c>
      <c r="L176" s="689"/>
      <c r="M176" s="694">
        <v>6285</v>
      </c>
      <c r="N176" s="689"/>
      <c r="O176" s="695">
        <v>10.0375</v>
      </c>
      <c r="P176" s="689"/>
      <c r="Q176" s="696">
        <f t="shared" si="40"/>
        <v>0</v>
      </c>
      <c r="R176" s="689"/>
      <c r="S176" s="697">
        <v>0</v>
      </c>
      <c r="T176" s="689"/>
      <c r="U176" s="698">
        <f t="shared" si="41"/>
        <v>0</v>
      </c>
      <c r="V176" s="689"/>
      <c r="W176" s="696">
        <f t="shared" si="42"/>
        <v>0</v>
      </c>
      <c r="Y176" s="699">
        <v>1.4E-3</v>
      </c>
      <c r="AA176" s="663">
        <f t="shared" si="43"/>
        <v>8.7989999999999995</v>
      </c>
      <c r="AC176" s="673" t="s">
        <v>912</v>
      </c>
    </row>
    <row r="177" spans="1:31">
      <c r="A177" s="673">
        <v>152</v>
      </c>
      <c r="C177" s="688" t="s">
        <v>966</v>
      </c>
      <c r="D177" s="689"/>
      <c r="E177" s="690" t="s">
        <v>912</v>
      </c>
      <c r="F177" s="690"/>
      <c r="G177" s="690" t="s">
        <v>962</v>
      </c>
      <c r="H177" s="689"/>
      <c r="I177" s="691" t="s">
        <v>967</v>
      </c>
      <c r="J177" s="689"/>
      <c r="K177" s="692">
        <v>0</v>
      </c>
      <c r="L177" s="689"/>
      <c r="M177" s="694">
        <v>216245</v>
      </c>
      <c r="N177" s="689"/>
      <c r="O177" s="695">
        <v>10.0375</v>
      </c>
      <c r="P177" s="689"/>
      <c r="Q177" s="696">
        <f t="shared" si="40"/>
        <v>0</v>
      </c>
      <c r="R177" s="689"/>
      <c r="S177" s="697">
        <v>0</v>
      </c>
      <c r="T177" s="689"/>
      <c r="U177" s="698">
        <f t="shared" si="41"/>
        <v>0</v>
      </c>
      <c r="V177" s="689"/>
      <c r="W177" s="696">
        <f t="shared" si="42"/>
        <v>0</v>
      </c>
      <c r="Y177" s="699">
        <v>1.4E-3</v>
      </c>
      <c r="AA177" s="663">
        <f t="shared" si="43"/>
        <v>302.74299999999999</v>
      </c>
      <c r="AC177" s="673" t="s">
        <v>912</v>
      </c>
    </row>
    <row r="178" spans="1:31">
      <c r="A178" s="673">
        <v>153</v>
      </c>
      <c r="C178" s="688" t="s">
        <v>958</v>
      </c>
      <c r="D178" s="689"/>
      <c r="E178" s="690" t="s">
        <v>912</v>
      </c>
      <c r="F178" s="690"/>
      <c r="G178" s="690" t="s">
        <v>962</v>
      </c>
      <c r="H178" s="689"/>
      <c r="I178" s="691" t="s">
        <v>964</v>
      </c>
      <c r="J178" s="689"/>
      <c r="K178" s="692">
        <v>0</v>
      </c>
      <c r="L178" s="689"/>
      <c r="M178" s="694">
        <v>8136</v>
      </c>
      <c r="N178" s="689"/>
      <c r="O178" s="695">
        <v>10.0375</v>
      </c>
      <c r="P178" s="689"/>
      <c r="Q178" s="696">
        <f t="shared" si="40"/>
        <v>0</v>
      </c>
      <c r="R178" s="689"/>
      <c r="S178" s="697">
        <v>0</v>
      </c>
      <c r="T178" s="689"/>
      <c r="U178" s="698">
        <f t="shared" si="41"/>
        <v>0</v>
      </c>
      <c r="V178" s="689"/>
      <c r="W178" s="696">
        <f t="shared" si="42"/>
        <v>0</v>
      </c>
      <c r="Y178" s="699">
        <v>1.4E-3</v>
      </c>
      <c r="AA178" s="663">
        <f t="shared" si="43"/>
        <v>11.3904</v>
      </c>
      <c r="AC178" s="673" t="s">
        <v>912</v>
      </c>
    </row>
    <row r="179" spans="1:31">
      <c r="A179" s="673">
        <v>154</v>
      </c>
      <c r="C179" s="688" t="s">
        <v>948</v>
      </c>
      <c r="D179" s="689"/>
      <c r="E179" s="690" t="s">
        <v>912</v>
      </c>
      <c r="F179" s="690"/>
      <c r="G179" s="690" t="s">
        <v>962</v>
      </c>
      <c r="H179" s="689"/>
      <c r="I179" s="691" t="s">
        <v>963</v>
      </c>
      <c r="J179" s="689"/>
      <c r="K179" s="692">
        <v>0</v>
      </c>
      <c r="L179" s="689"/>
      <c r="M179" s="694">
        <v>5880</v>
      </c>
      <c r="N179" s="689"/>
      <c r="O179" s="695">
        <v>10.0375</v>
      </c>
      <c r="P179" s="689"/>
      <c r="Q179" s="696">
        <f t="shared" si="40"/>
        <v>0</v>
      </c>
      <c r="R179" s="689"/>
      <c r="S179" s="697">
        <v>0</v>
      </c>
      <c r="T179" s="689"/>
      <c r="U179" s="698">
        <f t="shared" si="41"/>
        <v>0</v>
      </c>
      <c r="V179" s="689"/>
      <c r="W179" s="696">
        <f t="shared" si="42"/>
        <v>0</v>
      </c>
      <c r="Y179" s="699">
        <v>1.4E-3</v>
      </c>
      <c r="AA179" s="663">
        <f t="shared" si="43"/>
        <v>8.2319999999999993</v>
      </c>
      <c r="AC179" s="673" t="s">
        <v>912</v>
      </c>
    </row>
    <row r="180" spans="1:31">
      <c r="A180" s="673">
        <v>155</v>
      </c>
      <c r="C180" s="688" t="s">
        <v>972</v>
      </c>
      <c r="D180" s="689"/>
      <c r="E180" s="690" t="s">
        <v>912</v>
      </c>
      <c r="F180" s="690"/>
      <c r="G180" s="690" t="s">
        <v>970</v>
      </c>
      <c r="H180" s="689"/>
      <c r="I180" s="691" t="s">
        <v>973</v>
      </c>
      <c r="J180" s="689"/>
      <c r="K180" s="692">
        <v>150</v>
      </c>
      <c r="L180" s="689"/>
      <c r="M180" s="694">
        <v>0</v>
      </c>
      <c r="N180" s="689"/>
      <c r="O180" s="695">
        <v>10.0375</v>
      </c>
      <c r="P180" s="689"/>
      <c r="Q180" s="696">
        <f t="shared" si="40"/>
        <v>1505.625</v>
      </c>
      <c r="R180" s="689"/>
      <c r="S180" s="697">
        <v>0</v>
      </c>
      <c r="T180" s="689"/>
      <c r="U180" s="698">
        <f t="shared" si="41"/>
        <v>0</v>
      </c>
      <c r="V180" s="689"/>
      <c r="W180" s="696">
        <f t="shared" si="42"/>
        <v>1505.625</v>
      </c>
      <c r="Y180" s="699">
        <v>1.4E-3</v>
      </c>
      <c r="AA180" s="663">
        <f t="shared" si="43"/>
        <v>0</v>
      </c>
      <c r="AC180" s="673" t="s">
        <v>912</v>
      </c>
      <c r="AE180" s="708"/>
    </row>
    <row r="181" spans="1:31">
      <c r="A181" s="673">
        <v>156</v>
      </c>
      <c r="C181" s="688" t="s">
        <v>974</v>
      </c>
      <c r="D181" s="689"/>
      <c r="E181" s="690" t="s">
        <v>912</v>
      </c>
      <c r="F181" s="690"/>
      <c r="G181" s="690" t="s">
        <v>970</v>
      </c>
      <c r="H181" s="689"/>
      <c r="I181" s="691" t="s">
        <v>975</v>
      </c>
      <c r="J181" s="689"/>
      <c r="K181" s="692">
        <v>20000</v>
      </c>
      <c r="L181" s="689"/>
      <c r="M181" s="694">
        <v>0</v>
      </c>
      <c r="N181" s="689"/>
      <c r="O181" s="695">
        <v>10.0375</v>
      </c>
      <c r="P181" s="689"/>
      <c r="Q181" s="696">
        <f t="shared" si="40"/>
        <v>200750</v>
      </c>
      <c r="R181" s="689"/>
      <c r="S181" s="697">
        <v>0</v>
      </c>
      <c r="T181" s="689"/>
      <c r="U181" s="698">
        <f t="shared" si="41"/>
        <v>0</v>
      </c>
      <c r="V181" s="689"/>
      <c r="W181" s="696">
        <f t="shared" si="42"/>
        <v>200750</v>
      </c>
      <c r="Y181" s="699">
        <v>1.4E-3</v>
      </c>
      <c r="AA181" s="663">
        <f t="shared" si="43"/>
        <v>0</v>
      </c>
      <c r="AC181" s="673" t="s">
        <v>912</v>
      </c>
    </row>
    <row r="182" spans="1:31">
      <c r="A182" s="673">
        <v>157</v>
      </c>
      <c r="C182" s="688" t="s">
        <v>969</v>
      </c>
      <c r="D182" s="689"/>
      <c r="E182" s="690" t="s">
        <v>912</v>
      </c>
      <c r="F182" s="690"/>
      <c r="G182" s="690" t="s">
        <v>970</v>
      </c>
      <c r="H182" s="689"/>
      <c r="I182" s="691" t="s">
        <v>971</v>
      </c>
      <c r="J182" s="689"/>
      <c r="K182" s="692">
        <v>500</v>
      </c>
      <c r="L182" s="689"/>
      <c r="M182" s="694">
        <v>0</v>
      </c>
      <c r="N182" s="689"/>
      <c r="O182" s="695">
        <v>10.0375</v>
      </c>
      <c r="P182" s="689"/>
      <c r="Q182" s="696">
        <f t="shared" si="40"/>
        <v>5018.75</v>
      </c>
      <c r="R182" s="689"/>
      <c r="S182" s="697">
        <v>0</v>
      </c>
      <c r="T182" s="689"/>
      <c r="U182" s="698">
        <f t="shared" si="41"/>
        <v>0</v>
      </c>
      <c r="V182" s="689"/>
      <c r="W182" s="696">
        <f t="shared" si="42"/>
        <v>5018.75</v>
      </c>
      <c r="Y182" s="699">
        <v>1.4E-3</v>
      </c>
      <c r="AA182" s="663">
        <f t="shared" si="43"/>
        <v>0</v>
      </c>
      <c r="AC182" s="673" t="s">
        <v>912</v>
      </c>
    </row>
    <row r="183" spans="1:31">
      <c r="A183" s="673">
        <v>158</v>
      </c>
      <c r="C183" s="700" t="s">
        <v>976</v>
      </c>
      <c r="D183" s="689"/>
      <c r="E183" s="690"/>
      <c r="F183" s="690"/>
      <c r="G183" s="690"/>
      <c r="H183" s="689"/>
      <c r="I183" s="690"/>
      <c r="J183" s="689"/>
      <c r="K183" s="712">
        <f>SUM(K175:K182)</f>
        <v>20650</v>
      </c>
      <c r="L183" s="689"/>
      <c r="M183" s="712">
        <f>SUM(M175:M182)</f>
        <v>240956</v>
      </c>
      <c r="N183" s="689"/>
      <c r="O183" s="689"/>
      <c r="P183" s="689"/>
      <c r="Q183" s="703">
        <f>SUM(Q175:Q182)</f>
        <v>207274.375</v>
      </c>
      <c r="R183" s="689"/>
      <c r="S183" s="689"/>
      <c r="T183" s="689"/>
      <c r="U183" s="703">
        <f>SUM(U175:U182)</f>
        <v>0</v>
      </c>
      <c r="V183" s="689"/>
      <c r="W183" s="703">
        <f>SUM(W175:W182)</f>
        <v>207274.375</v>
      </c>
      <c r="AA183" s="703">
        <f>SUM(AA175:AA182)</f>
        <v>337.33839999999998</v>
      </c>
    </row>
    <row r="184" spans="1:31">
      <c r="C184" s="700" t="s">
        <v>877</v>
      </c>
      <c r="D184" s="689"/>
      <c r="E184" s="690"/>
      <c r="F184" s="690"/>
      <c r="G184" s="690"/>
      <c r="H184" s="689"/>
      <c r="I184" s="690"/>
      <c r="J184" s="689"/>
      <c r="K184" s="707"/>
      <c r="L184" s="689"/>
      <c r="M184" s="693"/>
      <c r="N184" s="689"/>
      <c r="O184" s="689"/>
      <c r="P184" s="689"/>
      <c r="Q184" s="689"/>
      <c r="R184" s="689"/>
      <c r="S184" s="689"/>
      <c r="T184" s="689"/>
      <c r="U184" s="689"/>
      <c r="V184" s="689"/>
      <c r="W184" s="689"/>
    </row>
    <row r="185" spans="1:31">
      <c r="A185" s="673">
        <v>159</v>
      </c>
      <c r="C185" s="688" t="s">
        <v>932</v>
      </c>
      <c r="D185" s="689"/>
      <c r="E185" s="690" t="s">
        <v>912</v>
      </c>
      <c r="F185" s="690"/>
      <c r="G185" s="690" t="s">
        <v>977</v>
      </c>
      <c r="H185" s="689"/>
      <c r="I185" s="691" t="s">
        <v>978</v>
      </c>
      <c r="J185" s="689"/>
      <c r="K185" s="707">
        <v>0</v>
      </c>
      <c r="L185" s="689"/>
      <c r="M185" s="694">
        <v>49828</v>
      </c>
      <c r="N185" s="689"/>
      <c r="O185" s="695">
        <v>0</v>
      </c>
      <c r="P185" s="689"/>
      <c r="Q185" s="696">
        <f>K185*O185</f>
        <v>0</v>
      </c>
      <c r="R185" s="689"/>
      <c r="S185" s="709">
        <v>0.33</v>
      </c>
      <c r="T185" s="689"/>
      <c r="U185" s="698">
        <f>S185*M185</f>
        <v>16443.240000000002</v>
      </c>
      <c r="V185" s="689"/>
      <c r="W185" s="696">
        <f>U185+Q185</f>
        <v>16443.240000000002</v>
      </c>
      <c r="Y185" s="699">
        <v>1.4E-3</v>
      </c>
      <c r="AA185" s="663">
        <f>Y185*M185</f>
        <v>69.759199999999993</v>
      </c>
      <c r="AC185" s="673" t="s">
        <v>912</v>
      </c>
    </row>
    <row r="186" spans="1:31">
      <c r="A186" s="673">
        <v>160</v>
      </c>
      <c r="C186" s="700" t="s">
        <v>982</v>
      </c>
      <c r="K186" s="712">
        <f>SUM(K185)</f>
        <v>0</v>
      </c>
      <c r="M186" s="712">
        <f>SUM(M185)</f>
        <v>49828</v>
      </c>
      <c r="Q186" s="703">
        <f>SUM(Q185)</f>
        <v>0</v>
      </c>
      <c r="U186" s="703">
        <f>SUM(U185)</f>
        <v>16443.240000000002</v>
      </c>
      <c r="W186" s="703">
        <f>SUM(W185)</f>
        <v>16443.240000000002</v>
      </c>
      <c r="AA186" s="703">
        <f>SUM(AA185)</f>
        <v>69.759199999999993</v>
      </c>
    </row>
    <row r="188" spans="1:31">
      <c r="C188" s="677" t="s">
        <v>987</v>
      </c>
      <c r="D188" s="677"/>
      <c r="E188" s="678"/>
      <c r="F188" s="678"/>
      <c r="G188" s="678"/>
      <c r="H188" s="677"/>
      <c r="I188" s="678"/>
      <c r="J188" s="677"/>
      <c r="K188" s="679"/>
      <c r="L188" s="677"/>
      <c r="M188" s="680"/>
      <c r="N188" s="677"/>
      <c r="O188" s="677"/>
      <c r="P188" s="677"/>
      <c r="Q188" s="677"/>
      <c r="R188" s="677"/>
      <c r="S188" s="677"/>
      <c r="T188" s="677"/>
      <c r="U188" s="677"/>
      <c r="V188" s="677"/>
      <c r="W188" s="677"/>
      <c r="X188" s="677"/>
      <c r="Y188" s="677"/>
      <c r="Z188" s="677"/>
      <c r="AA188" s="677"/>
      <c r="AB188" s="677"/>
      <c r="AC188" s="677"/>
    </row>
    <row r="189" spans="1:31" s="682" customFormat="1">
      <c r="A189" s="673"/>
      <c r="C189" s="683" t="s">
        <v>876</v>
      </c>
      <c r="D189" s="684"/>
      <c r="E189" s="685"/>
      <c r="F189" s="685"/>
      <c r="G189" s="685"/>
      <c r="H189" s="684"/>
      <c r="I189" s="685"/>
      <c r="J189" s="684"/>
      <c r="K189" s="686"/>
      <c r="L189" s="684"/>
      <c r="M189" s="687"/>
      <c r="N189" s="684"/>
      <c r="O189" s="684"/>
      <c r="P189" s="684"/>
      <c r="Q189" s="684"/>
      <c r="R189" s="684"/>
      <c r="S189" s="684"/>
      <c r="T189" s="684"/>
      <c r="U189" s="684"/>
      <c r="V189" s="684"/>
      <c r="W189" s="684"/>
      <c r="X189" s="684"/>
      <c r="Y189" s="684"/>
      <c r="Z189" s="684"/>
      <c r="AA189" s="684"/>
      <c r="AB189" s="684"/>
      <c r="AC189" s="684"/>
    </row>
    <row r="190" spans="1:31">
      <c r="A190" s="673">
        <v>161</v>
      </c>
      <c r="C190" s="688" t="s">
        <v>911</v>
      </c>
      <c r="D190" s="689"/>
      <c r="E190" s="690" t="s">
        <v>912</v>
      </c>
      <c r="F190" s="690"/>
      <c r="G190" s="690" t="s">
        <v>913</v>
      </c>
      <c r="H190" s="689"/>
      <c r="I190" s="691" t="s">
        <v>914</v>
      </c>
      <c r="J190" s="689"/>
      <c r="K190" s="694">
        <v>105750</v>
      </c>
      <c r="L190" s="693"/>
      <c r="M190" s="694">
        <v>1566482</v>
      </c>
      <c r="N190" s="689"/>
      <c r="O190" s="695">
        <v>10.0375</v>
      </c>
      <c r="P190" s="689"/>
      <c r="Q190" s="696">
        <f t="shared" ref="Q190:Q209" si="44">K190*O190</f>
        <v>1061465.625</v>
      </c>
      <c r="R190" s="689"/>
      <c r="S190" s="697">
        <v>0</v>
      </c>
      <c r="T190" s="689"/>
      <c r="U190" s="698">
        <f t="shared" ref="U190:U209" si="45">S190*M190</f>
        <v>0</v>
      </c>
      <c r="V190" s="689"/>
      <c r="W190" s="696">
        <f t="shared" ref="W190:W209" si="46">U190+Q190</f>
        <v>1061465.625</v>
      </c>
      <c r="Y190" s="699">
        <v>1.4E-3</v>
      </c>
      <c r="AA190" s="663">
        <f t="shared" ref="AA190:AA209" si="47">Y190*M190</f>
        <v>2193.0747999999999</v>
      </c>
      <c r="AC190" s="673" t="s">
        <v>912</v>
      </c>
    </row>
    <row r="191" spans="1:31">
      <c r="A191" s="673">
        <v>162</v>
      </c>
      <c r="C191" s="688" t="s">
        <v>915</v>
      </c>
      <c r="D191" s="689"/>
      <c r="E191" s="690" t="s">
        <v>912</v>
      </c>
      <c r="F191" s="690"/>
      <c r="G191" s="690" t="s">
        <v>913</v>
      </c>
      <c r="H191" s="689"/>
      <c r="I191" s="691" t="s">
        <v>916</v>
      </c>
      <c r="J191" s="689"/>
      <c r="K191" s="694">
        <v>200</v>
      </c>
      <c r="L191" s="693"/>
      <c r="M191" s="694">
        <v>900</v>
      </c>
      <c r="N191" s="689"/>
      <c r="O191" s="695">
        <v>10.0375</v>
      </c>
      <c r="P191" s="689"/>
      <c r="Q191" s="696">
        <f t="shared" si="44"/>
        <v>2007.5</v>
      </c>
      <c r="R191" s="689"/>
      <c r="S191" s="697">
        <v>0</v>
      </c>
      <c r="T191" s="689"/>
      <c r="U191" s="698">
        <f t="shared" si="45"/>
        <v>0</v>
      </c>
      <c r="V191" s="689"/>
      <c r="W191" s="696">
        <f t="shared" si="46"/>
        <v>2007.5</v>
      </c>
      <c r="Y191" s="699">
        <v>1.4E-3</v>
      </c>
      <c r="AA191" s="663">
        <f t="shared" si="47"/>
        <v>1.26</v>
      </c>
      <c r="AC191" s="673" t="s">
        <v>912</v>
      </c>
    </row>
    <row r="192" spans="1:31">
      <c r="A192" s="673">
        <v>163</v>
      </c>
      <c r="C192" s="688" t="s">
        <v>917</v>
      </c>
      <c r="D192" s="689"/>
      <c r="E192" s="690" t="s">
        <v>912</v>
      </c>
      <c r="F192" s="690"/>
      <c r="G192" s="690" t="s">
        <v>913</v>
      </c>
      <c r="H192" s="689"/>
      <c r="I192" s="691" t="s">
        <v>918</v>
      </c>
      <c r="J192" s="689"/>
      <c r="K192" s="694">
        <v>1200</v>
      </c>
      <c r="L192" s="693"/>
      <c r="M192" s="694">
        <v>1599</v>
      </c>
      <c r="N192" s="689"/>
      <c r="O192" s="695">
        <v>10.0375</v>
      </c>
      <c r="P192" s="689"/>
      <c r="Q192" s="696">
        <f t="shared" si="44"/>
        <v>12045</v>
      </c>
      <c r="R192" s="689"/>
      <c r="S192" s="697">
        <v>0</v>
      </c>
      <c r="T192" s="689"/>
      <c r="U192" s="698">
        <f t="shared" si="45"/>
        <v>0</v>
      </c>
      <c r="V192" s="689"/>
      <c r="W192" s="696">
        <f t="shared" si="46"/>
        <v>12045</v>
      </c>
      <c r="Y192" s="699">
        <v>1.4E-3</v>
      </c>
      <c r="AA192" s="663">
        <f t="shared" si="47"/>
        <v>2.2385999999999999</v>
      </c>
      <c r="AC192" s="673" t="s">
        <v>912</v>
      </c>
    </row>
    <row r="193" spans="1:29">
      <c r="A193" s="673">
        <v>164</v>
      </c>
      <c r="C193" s="688" t="s">
        <v>919</v>
      </c>
      <c r="D193" s="689"/>
      <c r="E193" s="690" t="s">
        <v>912</v>
      </c>
      <c r="F193" s="690"/>
      <c r="G193" s="690" t="s">
        <v>913</v>
      </c>
      <c r="H193" s="689"/>
      <c r="I193" s="691" t="s">
        <v>920</v>
      </c>
      <c r="J193" s="689"/>
      <c r="K193" s="694">
        <v>1550</v>
      </c>
      <c r="L193" s="693"/>
      <c r="M193" s="694">
        <v>0</v>
      </c>
      <c r="N193" s="689"/>
      <c r="O193" s="695">
        <v>10.0375</v>
      </c>
      <c r="P193" s="689"/>
      <c r="Q193" s="696">
        <f t="shared" si="44"/>
        <v>15558.125</v>
      </c>
      <c r="R193" s="689"/>
      <c r="S193" s="697">
        <v>0</v>
      </c>
      <c r="T193" s="689"/>
      <c r="U193" s="698">
        <f t="shared" si="45"/>
        <v>0</v>
      </c>
      <c r="V193" s="689"/>
      <c r="W193" s="696">
        <f t="shared" si="46"/>
        <v>15558.125</v>
      </c>
      <c r="Y193" s="699">
        <v>1.4E-3</v>
      </c>
      <c r="AA193" s="663">
        <f t="shared" si="47"/>
        <v>0</v>
      </c>
      <c r="AC193" s="673" t="s">
        <v>912</v>
      </c>
    </row>
    <row r="194" spans="1:29">
      <c r="A194" s="673">
        <v>165</v>
      </c>
      <c r="C194" s="688" t="s">
        <v>911</v>
      </c>
      <c r="D194" s="689"/>
      <c r="E194" s="690" t="s">
        <v>912</v>
      </c>
      <c r="F194" s="690"/>
      <c r="G194" s="690" t="s">
        <v>913</v>
      </c>
      <c r="H194" s="689"/>
      <c r="I194" s="691" t="s">
        <v>921</v>
      </c>
      <c r="J194" s="689"/>
      <c r="K194" s="694">
        <v>10000</v>
      </c>
      <c r="L194" s="693"/>
      <c r="M194" s="694">
        <v>310000</v>
      </c>
      <c r="N194" s="689"/>
      <c r="O194" s="695">
        <v>10.0375</v>
      </c>
      <c r="P194" s="689"/>
      <c r="Q194" s="696">
        <f t="shared" si="44"/>
        <v>100375</v>
      </c>
      <c r="R194" s="689"/>
      <c r="S194" s="697">
        <v>0</v>
      </c>
      <c r="T194" s="689"/>
      <c r="U194" s="698">
        <f t="shared" si="45"/>
        <v>0</v>
      </c>
      <c r="V194" s="689"/>
      <c r="W194" s="696">
        <f t="shared" si="46"/>
        <v>100375</v>
      </c>
      <c r="Y194" s="699">
        <v>1.4E-3</v>
      </c>
      <c r="AA194" s="663">
        <f t="shared" si="47"/>
        <v>434</v>
      </c>
      <c r="AC194" s="673" t="s">
        <v>912</v>
      </c>
    </row>
    <row r="195" spans="1:29">
      <c r="A195" s="673">
        <v>166</v>
      </c>
      <c r="C195" s="688" t="s">
        <v>922</v>
      </c>
      <c r="D195" s="689"/>
      <c r="E195" s="690" t="s">
        <v>912</v>
      </c>
      <c r="F195" s="690"/>
      <c r="G195" s="690" t="s">
        <v>913</v>
      </c>
      <c r="H195" s="689"/>
      <c r="I195" s="691" t="s">
        <v>923</v>
      </c>
      <c r="J195" s="689"/>
      <c r="K195" s="694">
        <v>200</v>
      </c>
      <c r="L195" s="693"/>
      <c r="M195" s="694">
        <v>0</v>
      </c>
      <c r="N195" s="689"/>
      <c r="O195" s="695">
        <v>10.0375</v>
      </c>
      <c r="P195" s="689"/>
      <c r="Q195" s="696">
        <f t="shared" si="44"/>
        <v>2007.5</v>
      </c>
      <c r="R195" s="689"/>
      <c r="S195" s="697">
        <v>0</v>
      </c>
      <c r="T195" s="689"/>
      <c r="U195" s="698">
        <f t="shared" si="45"/>
        <v>0</v>
      </c>
      <c r="V195" s="689"/>
      <c r="W195" s="696">
        <f t="shared" si="46"/>
        <v>2007.5</v>
      </c>
      <c r="Y195" s="699">
        <v>1.4E-3</v>
      </c>
      <c r="AA195" s="663">
        <f t="shared" si="47"/>
        <v>0</v>
      </c>
      <c r="AC195" s="673" t="s">
        <v>912</v>
      </c>
    </row>
    <row r="196" spans="1:29">
      <c r="A196" s="673">
        <v>167</v>
      </c>
      <c r="C196" s="688" t="s">
        <v>924</v>
      </c>
      <c r="D196" s="689"/>
      <c r="E196" s="690" t="s">
        <v>912</v>
      </c>
      <c r="F196" s="690"/>
      <c r="G196" s="690" t="s">
        <v>913</v>
      </c>
      <c r="H196" s="689"/>
      <c r="I196" s="691" t="s">
        <v>925</v>
      </c>
      <c r="J196" s="689"/>
      <c r="K196" s="694">
        <v>550</v>
      </c>
      <c r="L196" s="693"/>
      <c r="M196" s="694">
        <v>15763</v>
      </c>
      <c r="N196" s="689"/>
      <c r="O196" s="695">
        <v>10.0375</v>
      </c>
      <c r="P196" s="689"/>
      <c r="Q196" s="696">
        <f t="shared" si="44"/>
        <v>5520.625</v>
      </c>
      <c r="R196" s="689"/>
      <c r="S196" s="697">
        <v>0</v>
      </c>
      <c r="T196" s="689"/>
      <c r="U196" s="698">
        <f t="shared" si="45"/>
        <v>0</v>
      </c>
      <c r="V196" s="689"/>
      <c r="W196" s="696">
        <f t="shared" si="46"/>
        <v>5520.625</v>
      </c>
      <c r="Y196" s="699">
        <v>1.4E-3</v>
      </c>
      <c r="AA196" s="663">
        <f t="shared" si="47"/>
        <v>22.068200000000001</v>
      </c>
      <c r="AC196" s="673" t="s">
        <v>912</v>
      </c>
    </row>
    <row r="197" spans="1:29">
      <c r="A197" s="673">
        <v>168</v>
      </c>
      <c r="C197" s="688" t="s">
        <v>911</v>
      </c>
      <c r="D197" s="689"/>
      <c r="E197" s="690" t="s">
        <v>912</v>
      </c>
      <c r="F197" s="690"/>
      <c r="G197" s="690" t="s">
        <v>913</v>
      </c>
      <c r="H197" s="689"/>
      <c r="I197" s="691" t="s">
        <v>926</v>
      </c>
      <c r="J197" s="689"/>
      <c r="K197" s="694">
        <v>5661</v>
      </c>
      <c r="L197" s="693"/>
      <c r="M197" s="694">
        <v>175491</v>
      </c>
      <c r="N197" s="689"/>
      <c r="O197" s="695">
        <v>10.0375</v>
      </c>
      <c r="P197" s="689"/>
      <c r="Q197" s="696">
        <f t="shared" si="44"/>
        <v>56822.287499999999</v>
      </c>
      <c r="R197" s="689"/>
      <c r="S197" s="697">
        <v>0</v>
      </c>
      <c r="T197" s="689"/>
      <c r="U197" s="698">
        <f t="shared" si="45"/>
        <v>0</v>
      </c>
      <c r="V197" s="689"/>
      <c r="W197" s="696">
        <f t="shared" si="46"/>
        <v>56822.287499999999</v>
      </c>
      <c r="Y197" s="699">
        <v>1.4E-3</v>
      </c>
      <c r="AA197" s="663">
        <f t="shared" si="47"/>
        <v>245.6874</v>
      </c>
      <c r="AC197" s="673" t="s">
        <v>912</v>
      </c>
    </row>
    <row r="198" spans="1:29">
      <c r="A198" s="673">
        <v>169</v>
      </c>
      <c r="C198" s="688" t="s">
        <v>911</v>
      </c>
      <c r="D198" s="689"/>
      <c r="E198" s="690" t="s">
        <v>912</v>
      </c>
      <c r="F198" s="690"/>
      <c r="G198" s="690" t="s">
        <v>913</v>
      </c>
      <c r="H198" s="689"/>
      <c r="I198" s="691" t="s">
        <v>927</v>
      </c>
      <c r="J198" s="689"/>
      <c r="K198" s="694">
        <v>5690</v>
      </c>
      <c r="L198" s="693"/>
      <c r="M198" s="694">
        <v>176390</v>
      </c>
      <c r="N198" s="689"/>
      <c r="O198" s="695">
        <v>10.0375</v>
      </c>
      <c r="P198" s="689"/>
      <c r="Q198" s="696">
        <f t="shared" si="44"/>
        <v>57113.375</v>
      </c>
      <c r="R198" s="689"/>
      <c r="S198" s="697">
        <v>0</v>
      </c>
      <c r="T198" s="689"/>
      <c r="U198" s="698">
        <f t="shared" si="45"/>
        <v>0</v>
      </c>
      <c r="V198" s="689"/>
      <c r="W198" s="696">
        <f t="shared" si="46"/>
        <v>57113.375</v>
      </c>
      <c r="Y198" s="699">
        <v>1.4E-3</v>
      </c>
      <c r="AA198" s="663">
        <f t="shared" si="47"/>
        <v>246.946</v>
      </c>
      <c r="AC198" s="673" t="s">
        <v>912</v>
      </c>
    </row>
    <row r="199" spans="1:29">
      <c r="A199" s="673">
        <v>170</v>
      </c>
      <c r="C199" s="688" t="s">
        <v>928</v>
      </c>
      <c r="D199" s="689"/>
      <c r="E199" s="690" t="s">
        <v>912</v>
      </c>
      <c r="F199" s="690"/>
      <c r="G199" s="690" t="s">
        <v>913</v>
      </c>
      <c r="H199" s="689"/>
      <c r="I199" s="691" t="s">
        <v>929</v>
      </c>
      <c r="J199" s="689"/>
      <c r="K199" s="694">
        <v>8000</v>
      </c>
      <c r="L199" s="693"/>
      <c r="M199" s="694">
        <v>0</v>
      </c>
      <c r="N199" s="689"/>
      <c r="O199" s="695">
        <v>10.0375</v>
      </c>
      <c r="P199" s="689"/>
      <c r="Q199" s="696">
        <f t="shared" si="44"/>
        <v>80300</v>
      </c>
      <c r="R199" s="689"/>
      <c r="S199" s="697">
        <v>0</v>
      </c>
      <c r="T199" s="689"/>
      <c r="U199" s="698">
        <f t="shared" si="45"/>
        <v>0</v>
      </c>
      <c r="V199" s="689"/>
      <c r="W199" s="696">
        <f t="shared" si="46"/>
        <v>80300</v>
      </c>
      <c r="Y199" s="699">
        <v>1.4E-3</v>
      </c>
      <c r="AA199" s="663">
        <f t="shared" si="47"/>
        <v>0</v>
      </c>
      <c r="AC199" s="673" t="s">
        <v>912</v>
      </c>
    </row>
    <row r="200" spans="1:29">
      <c r="A200" s="673">
        <v>171</v>
      </c>
      <c r="C200" s="688" t="s">
        <v>928</v>
      </c>
      <c r="D200" s="689"/>
      <c r="E200" s="690" t="s">
        <v>912</v>
      </c>
      <c r="F200" s="690"/>
      <c r="G200" s="690" t="s">
        <v>913</v>
      </c>
      <c r="H200" s="689"/>
      <c r="I200" s="691" t="s">
        <v>930</v>
      </c>
      <c r="J200" s="689"/>
      <c r="K200" s="694">
        <v>16500</v>
      </c>
      <c r="L200" s="693"/>
      <c r="M200" s="694">
        <v>0</v>
      </c>
      <c r="N200" s="689"/>
      <c r="O200" s="695">
        <v>10.0375</v>
      </c>
      <c r="P200" s="689"/>
      <c r="Q200" s="696">
        <f t="shared" si="44"/>
        <v>165618.75</v>
      </c>
      <c r="R200" s="689"/>
      <c r="S200" s="697">
        <v>0</v>
      </c>
      <c r="T200" s="689"/>
      <c r="U200" s="698">
        <f t="shared" si="45"/>
        <v>0</v>
      </c>
      <c r="V200" s="689"/>
      <c r="W200" s="696">
        <f t="shared" si="46"/>
        <v>165618.75</v>
      </c>
      <c r="Y200" s="699">
        <v>1.4E-3</v>
      </c>
      <c r="AA200" s="663">
        <f t="shared" si="47"/>
        <v>0</v>
      </c>
      <c r="AC200" s="673" t="s">
        <v>912</v>
      </c>
    </row>
    <row r="201" spans="1:29">
      <c r="A201" s="673">
        <v>172</v>
      </c>
      <c r="C201" s="688" t="s">
        <v>911</v>
      </c>
      <c r="D201" s="689"/>
      <c r="E201" s="690" t="s">
        <v>912</v>
      </c>
      <c r="F201" s="690"/>
      <c r="G201" s="690" t="s">
        <v>913</v>
      </c>
      <c r="H201" s="689"/>
      <c r="I201" s="691" t="s">
        <v>931</v>
      </c>
      <c r="J201" s="689"/>
      <c r="K201" s="694">
        <v>5722</v>
      </c>
      <c r="L201" s="693"/>
      <c r="M201" s="694">
        <v>177382</v>
      </c>
      <c r="N201" s="689"/>
      <c r="O201" s="695">
        <v>10.0375</v>
      </c>
      <c r="P201" s="689"/>
      <c r="Q201" s="696">
        <f t="shared" si="44"/>
        <v>57434.574999999997</v>
      </c>
      <c r="R201" s="689"/>
      <c r="S201" s="697">
        <v>0</v>
      </c>
      <c r="T201" s="689"/>
      <c r="U201" s="698">
        <f t="shared" si="45"/>
        <v>0</v>
      </c>
      <c r="V201" s="689"/>
      <c r="W201" s="696">
        <f t="shared" si="46"/>
        <v>57434.574999999997</v>
      </c>
      <c r="Y201" s="699">
        <v>1.4E-3</v>
      </c>
      <c r="AA201" s="663">
        <f t="shared" si="47"/>
        <v>248.3348</v>
      </c>
      <c r="AC201" s="673" t="s">
        <v>912</v>
      </c>
    </row>
    <row r="202" spans="1:29">
      <c r="A202" s="673">
        <v>173</v>
      </c>
      <c r="C202" s="688" t="s">
        <v>932</v>
      </c>
      <c r="D202" s="689"/>
      <c r="E202" s="690" t="s">
        <v>912</v>
      </c>
      <c r="F202" s="690"/>
      <c r="G202" s="690" t="s">
        <v>913</v>
      </c>
      <c r="H202" s="689"/>
      <c r="I202" s="691" t="s">
        <v>933</v>
      </c>
      <c r="J202" s="689"/>
      <c r="K202" s="694">
        <v>760</v>
      </c>
      <c r="L202" s="693"/>
      <c r="M202" s="694">
        <v>23560</v>
      </c>
      <c r="N202" s="689"/>
      <c r="O202" s="695">
        <v>10.0375</v>
      </c>
      <c r="P202" s="689"/>
      <c r="Q202" s="696">
        <f t="shared" si="44"/>
        <v>7628.5</v>
      </c>
      <c r="R202" s="689"/>
      <c r="S202" s="697">
        <v>0</v>
      </c>
      <c r="T202" s="689"/>
      <c r="U202" s="698">
        <f t="shared" si="45"/>
        <v>0</v>
      </c>
      <c r="V202" s="689"/>
      <c r="W202" s="696">
        <f t="shared" si="46"/>
        <v>7628.5</v>
      </c>
      <c r="Y202" s="699">
        <v>1.4E-3</v>
      </c>
      <c r="AA202" s="663">
        <f t="shared" si="47"/>
        <v>32.984000000000002</v>
      </c>
      <c r="AC202" s="673" t="s">
        <v>912</v>
      </c>
    </row>
    <row r="203" spans="1:29">
      <c r="A203" s="673">
        <v>174</v>
      </c>
      <c r="C203" s="688" t="s">
        <v>922</v>
      </c>
      <c r="D203" s="689"/>
      <c r="E203" s="690" t="s">
        <v>912</v>
      </c>
      <c r="F203" s="690"/>
      <c r="G203" s="690" t="s">
        <v>913</v>
      </c>
      <c r="H203" s="689"/>
      <c r="I203" s="691" t="s">
        <v>934</v>
      </c>
      <c r="J203" s="689"/>
      <c r="K203" s="694">
        <v>150</v>
      </c>
      <c r="L203" s="693"/>
      <c r="M203" s="694">
        <v>0</v>
      </c>
      <c r="N203" s="689"/>
      <c r="O203" s="695">
        <v>10.0375</v>
      </c>
      <c r="P203" s="689"/>
      <c r="Q203" s="696">
        <f t="shared" si="44"/>
        <v>1505.625</v>
      </c>
      <c r="R203" s="689"/>
      <c r="S203" s="697">
        <v>0</v>
      </c>
      <c r="T203" s="689"/>
      <c r="U203" s="698">
        <f t="shared" si="45"/>
        <v>0</v>
      </c>
      <c r="V203" s="689"/>
      <c r="W203" s="696">
        <f t="shared" si="46"/>
        <v>1505.625</v>
      </c>
      <c r="Y203" s="699">
        <v>1.4E-3</v>
      </c>
      <c r="AA203" s="663">
        <f t="shared" si="47"/>
        <v>0</v>
      </c>
      <c r="AC203" s="673" t="s">
        <v>912</v>
      </c>
    </row>
    <row r="204" spans="1:29">
      <c r="A204" s="673">
        <v>175</v>
      </c>
      <c r="C204" s="688" t="s">
        <v>922</v>
      </c>
      <c r="D204" s="689"/>
      <c r="E204" s="690" t="s">
        <v>912</v>
      </c>
      <c r="F204" s="690"/>
      <c r="G204" s="690" t="s">
        <v>913</v>
      </c>
      <c r="H204" s="689"/>
      <c r="I204" s="691" t="s">
        <v>935</v>
      </c>
      <c r="J204" s="689"/>
      <c r="K204" s="694">
        <v>250</v>
      </c>
      <c r="L204" s="693"/>
      <c r="M204" s="694">
        <v>0</v>
      </c>
      <c r="N204" s="689"/>
      <c r="O204" s="695">
        <v>10.0375</v>
      </c>
      <c r="P204" s="689"/>
      <c r="Q204" s="696">
        <f t="shared" si="44"/>
        <v>2509.375</v>
      </c>
      <c r="R204" s="689"/>
      <c r="S204" s="697">
        <v>0</v>
      </c>
      <c r="T204" s="689"/>
      <c r="U204" s="698">
        <f t="shared" si="45"/>
        <v>0</v>
      </c>
      <c r="V204" s="689"/>
      <c r="W204" s="696">
        <f t="shared" si="46"/>
        <v>2509.375</v>
      </c>
      <c r="Y204" s="699">
        <v>1.4E-3</v>
      </c>
      <c r="AA204" s="663">
        <f t="shared" si="47"/>
        <v>0</v>
      </c>
      <c r="AC204" s="673" t="s">
        <v>912</v>
      </c>
    </row>
    <row r="205" spans="1:29">
      <c r="A205" s="673">
        <v>176</v>
      </c>
      <c r="C205" s="688" t="s">
        <v>922</v>
      </c>
      <c r="D205" s="689"/>
      <c r="E205" s="690" t="s">
        <v>912</v>
      </c>
      <c r="F205" s="690"/>
      <c r="G205" s="690" t="s">
        <v>913</v>
      </c>
      <c r="H205" s="689"/>
      <c r="I205" s="691" t="s">
        <v>936</v>
      </c>
      <c r="J205" s="689"/>
      <c r="K205" s="694">
        <v>400</v>
      </c>
      <c r="L205" s="693"/>
      <c r="M205" s="694">
        <v>11470</v>
      </c>
      <c r="N205" s="689"/>
      <c r="O205" s="695">
        <v>10.0375</v>
      </c>
      <c r="P205" s="689"/>
      <c r="Q205" s="696">
        <f t="shared" si="44"/>
        <v>4015</v>
      </c>
      <c r="R205" s="689"/>
      <c r="S205" s="697">
        <v>0</v>
      </c>
      <c r="T205" s="689"/>
      <c r="U205" s="698">
        <f t="shared" si="45"/>
        <v>0</v>
      </c>
      <c r="V205" s="689"/>
      <c r="W205" s="696">
        <f t="shared" si="46"/>
        <v>4015</v>
      </c>
      <c r="Y205" s="699">
        <v>1.4E-3</v>
      </c>
      <c r="AA205" s="663">
        <f t="shared" si="47"/>
        <v>16.058</v>
      </c>
      <c r="AC205" s="673" t="s">
        <v>912</v>
      </c>
    </row>
    <row r="206" spans="1:29">
      <c r="A206" s="673">
        <v>177</v>
      </c>
      <c r="C206" s="688" t="s">
        <v>911</v>
      </c>
      <c r="D206" s="689"/>
      <c r="E206" s="690" t="s">
        <v>912</v>
      </c>
      <c r="F206" s="690"/>
      <c r="G206" s="690" t="s">
        <v>913</v>
      </c>
      <c r="H206" s="689"/>
      <c r="I206" s="691" t="s">
        <v>937</v>
      </c>
      <c r="J206" s="689"/>
      <c r="K206" s="694">
        <v>40000</v>
      </c>
      <c r="L206" s="693"/>
      <c r="M206" s="694">
        <v>155000</v>
      </c>
      <c r="N206" s="689"/>
      <c r="O206" s="695">
        <v>10.0375</v>
      </c>
      <c r="P206" s="689"/>
      <c r="Q206" s="696">
        <f t="shared" si="44"/>
        <v>401500</v>
      </c>
      <c r="R206" s="689"/>
      <c r="S206" s="697">
        <v>0</v>
      </c>
      <c r="T206" s="689"/>
      <c r="U206" s="698">
        <f t="shared" si="45"/>
        <v>0</v>
      </c>
      <c r="V206" s="689"/>
      <c r="W206" s="696">
        <f t="shared" si="46"/>
        <v>401500</v>
      </c>
      <c r="Y206" s="699">
        <v>1.4E-3</v>
      </c>
      <c r="AA206" s="663">
        <f t="shared" si="47"/>
        <v>217</v>
      </c>
      <c r="AC206" s="673" t="s">
        <v>912</v>
      </c>
    </row>
    <row r="207" spans="1:29">
      <c r="A207" s="673">
        <v>178</v>
      </c>
      <c r="C207" s="688" t="s">
        <v>938</v>
      </c>
      <c r="D207" s="689"/>
      <c r="E207" s="690" t="s">
        <v>912</v>
      </c>
      <c r="F207" s="690"/>
      <c r="G207" s="690" t="s">
        <v>913</v>
      </c>
      <c r="H207" s="689"/>
      <c r="I207" s="691" t="s">
        <v>939</v>
      </c>
      <c r="J207" s="689"/>
      <c r="K207" s="694">
        <v>800</v>
      </c>
      <c r="L207" s="693"/>
      <c r="M207" s="694">
        <v>18521</v>
      </c>
      <c r="N207" s="689"/>
      <c r="O207" s="695">
        <v>10.0375</v>
      </c>
      <c r="P207" s="689"/>
      <c r="Q207" s="696">
        <f t="shared" si="44"/>
        <v>8030</v>
      </c>
      <c r="R207" s="689"/>
      <c r="S207" s="697">
        <v>0</v>
      </c>
      <c r="T207" s="689"/>
      <c r="U207" s="698">
        <f t="shared" si="45"/>
        <v>0</v>
      </c>
      <c r="V207" s="689"/>
      <c r="W207" s="696">
        <f t="shared" si="46"/>
        <v>8030</v>
      </c>
      <c r="Y207" s="699">
        <v>1.4E-3</v>
      </c>
      <c r="AA207" s="663">
        <f t="shared" si="47"/>
        <v>25.929400000000001</v>
      </c>
      <c r="AC207" s="673" t="s">
        <v>912</v>
      </c>
    </row>
    <row r="208" spans="1:29">
      <c r="A208" s="673">
        <v>179</v>
      </c>
      <c r="C208" s="688" t="s">
        <v>938</v>
      </c>
      <c r="D208" s="689"/>
      <c r="E208" s="690" t="s">
        <v>912</v>
      </c>
      <c r="F208" s="690"/>
      <c r="G208" s="690" t="s">
        <v>913</v>
      </c>
      <c r="H208" s="689"/>
      <c r="I208" s="691" t="s">
        <v>940</v>
      </c>
      <c r="J208" s="689"/>
      <c r="K208" s="694">
        <v>200</v>
      </c>
      <c r="L208" s="693"/>
      <c r="M208" s="694">
        <v>1176</v>
      </c>
      <c r="N208" s="689"/>
      <c r="O208" s="695">
        <v>10.0375</v>
      </c>
      <c r="P208" s="689"/>
      <c r="Q208" s="696">
        <f t="shared" si="44"/>
        <v>2007.5</v>
      </c>
      <c r="R208" s="689"/>
      <c r="S208" s="697">
        <v>0</v>
      </c>
      <c r="T208" s="689"/>
      <c r="U208" s="698">
        <f t="shared" si="45"/>
        <v>0</v>
      </c>
      <c r="V208" s="689"/>
      <c r="W208" s="696">
        <f t="shared" si="46"/>
        <v>2007.5</v>
      </c>
      <c r="Y208" s="699">
        <v>1.4E-3</v>
      </c>
      <c r="AA208" s="663">
        <f t="shared" si="47"/>
        <v>1.6464000000000001</v>
      </c>
      <c r="AC208" s="673" t="s">
        <v>912</v>
      </c>
    </row>
    <row r="209" spans="1:29">
      <c r="A209" s="673">
        <v>180</v>
      </c>
      <c r="C209" s="688" t="s">
        <v>938</v>
      </c>
      <c r="D209" s="689"/>
      <c r="E209" s="690" t="s">
        <v>912</v>
      </c>
      <c r="F209" s="690"/>
      <c r="G209" s="690" t="s">
        <v>913</v>
      </c>
      <c r="H209" s="689"/>
      <c r="I209" s="691" t="s">
        <v>941</v>
      </c>
      <c r="J209" s="689"/>
      <c r="K209" s="694">
        <v>400</v>
      </c>
      <c r="L209" s="693"/>
      <c r="M209" s="694">
        <v>2358</v>
      </c>
      <c r="N209" s="689"/>
      <c r="O209" s="695">
        <v>10.0375</v>
      </c>
      <c r="P209" s="689"/>
      <c r="Q209" s="696">
        <f t="shared" si="44"/>
        <v>4015</v>
      </c>
      <c r="R209" s="689"/>
      <c r="S209" s="697">
        <v>0</v>
      </c>
      <c r="T209" s="689"/>
      <c r="U209" s="698">
        <f t="shared" si="45"/>
        <v>0</v>
      </c>
      <c r="V209" s="689"/>
      <c r="W209" s="696">
        <f t="shared" si="46"/>
        <v>4015</v>
      </c>
      <c r="Y209" s="699">
        <v>1.4E-3</v>
      </c>
      <c r="AA209" s="663">
        <f t="shared" si="47"/>
        <v>3.3012000000000001</v>
      </c>
      <c r="AC209" s="673" t="s">
        <v>912</v>
      </c>
    </row>
    <row r="210" spans="1:29">
      <c r="A210" s="673">
        <v>181</v>
      </c>
      <c r="C210" s="700" t="s">
        <v>960</v>
      </c>
      <c r="D210" s="689"/>
      <c r="E210" s="690"/>
      <c r="F210" s="690"/>
      <c r="G210" s="690"/>
      <c r="H210" s="689"/>
      <c r="I210" s="690"/>
      <c r="J210" s="689"/>
      <c r="K210" s="702">
        <f>SUM(K190:K209)</f>
        <v>203983</v>
      </c>
      <c r="L210" s="689"/>
      <c r="M210" s="702">
        <f>SUM(M190:M209)</f>
        <v>2636092</v>
      </c>
      <c r="N210" s="689"/>
      <c r="O210" s="689"/>
      <c r="P210" s="689"/>
      <c r="Q210" s="703">
        <f>SUM(Q190:Q209)</f>
        <v>2047479.3625</v>
      </c>
      <c r="R210" s="689"/>
      <c r="S210" s="689"/>
      <c r="T210" s="689"/>
      <c r="U210" s="703">
        <f>SUM(U190:U209)</f>
        <v>0</v>
      </c>
      <c r="V210" s="689"/>
      <c r="W210" s="703">
        <f>SUM(W190:W209)</f>
        <v>2047479.3625</v>
      </c>
      <c r="AA210" s="703">
        <f>SUM(AA190:AA209)</f>
        <v>3690.5288</v>
      </c>
    </row>
    <row r="211" spans="1:29">
      <c r="C211" s="700" t="s">
        <v>961</v>
      </c>
      <c r="D211" s="689"/>
      <c r="E211" s="690"/>
      <c r="F211" s="690"/>
      <c r="G211" s="690"/>
      <c r="H211" s="689"/>
      <c r="I211" s="690"/>
      <c r="J211" s="689"/>
      <c r="K211" s="707"/>
      <c r="L211" s="689"/>
      <c r="M211" s="693"/>
      <c r="N211" s="689"/>
      <c r="O211" s="689"/>
      <c r="P211" s="689"/>
      <c r="Q211" s="689"/>
      <c r="R211" s="689"/>
      <c r="S211" s="689"/>
      <c r="T211" s="689"/>
      <c r="U211" s="689"/>
      <c r="V211" s="689"/>
      <c r="W211" s="689"/>
    </row>
    <row r="212" spans="1:29">
      <c r="A212" s="673">
        <v>182</v>
      </c>
      <c r="C212" s="688" t="s">
        <v>948</v>
      </c>
      <c r="D212" s="689"/>
      <c r="E212" s="690" t="s">
        <v>912</v>
      </c>
      <c r="F212" s="690"/>
      <c r="G212" s="690" t="s">
        <v>962</v>
      </c>
      <c r="H212" s="689"/>
      <c r="I212" s="691" t="s">
        <v>963</v>
      </c>
      <c r="J212" s="689"/>
      <c r="K212" s="694">
        <v>0</v>
      </c>
      <c r="L212" s="689"/>
      <c r="M212" s="694">
        <v>6090</v>
      </c>
      <c r="N212" s="689"/>
      <c r="O212" s="695">
        <v>10.0375</v>
      </c>
      <c r="P212" s="689"/>
      <c r="Q212" s="696">
        <f t="shared" ref="Q212:Q219" si="48">K212*O212</f>
        <v>0</v>
      </c>
      <c r="R212" s="689"/>
      <c r="S212" s="697">
        <v>0</v>
      </c>
      <c r="T212" s="689"/>
      <c r="U212" s="698">
        <f t="shared" ref="U212:U219" si="49">S212*M212</f>
        <v>0</v>
      </c>
      <c r="V212" s="689"/>
      <c r="W212" s="696">
        <f t="shared" ref="W212:W219" si="50">U212+Q212</f>
        <v>0</v>
      </c>
      <c r="Y212" s="699">
        <v>1.4E-3</v>
      </c>
      <c r="AA212" s="663">
        <f t="shared" ref="AA212:AA219" si="51">Y212*M212</f>
        <v>8.5259999999999998</v>
      </c>
      <c r="AC212" s="673" t="s">
        <v>912</v>
      </c>
    </row>
    <row r="213" spans="1:29">
      <c r="A213" s="673">
        <v>183</v>
      </c>
      <c r="C213" s="688" t="s">
        <v>958</v>
      </c>
      <c r="D213" s="689"/>
      <c r="E213" s="690" t="s">
        <v>912</v>
      </c>
      <c r="F213" s="690"/>
      <c r="G213" s="690" t="s">
        <v>962</v>
      </c>
      <c r="H213" s="689"/>
      <c r="I213" s="691" t="s">
        <v>964</v>
      </c>
      <c r="J213" s="689"/>
      <c r="K213" s="694">
        <v>0</v>
      </c>
      <c r="L213" s="689"/>
      <c r="M213" s="694">
        <v>8566</v>
      </c>
      <c r="N213" s="689"/>
      <c r="O213" s="695">
        <v>10.0375</v>
      </c>
      <c r="P213" s="689"/>
      <c r="Q213" s="696">
        <f t="shared" si="48"/>
        <v>0</v>
      </c>
      <c r="R213" s="689"/>
      <c r="S213" s="697">
        <v>0</v>
      </c>
      <c r="T213" s="689"/>
      <c r="U213" s="698">
        <f t="shared" si="49"/>
        <v>0</v>
      </c>
      <c r="V213" s="689"/>
      <c r="W213" s="696">
        <f t="shared" si="50"/>
        <v>0</v>
      </c>
      <c r="Y213" s="699">
        <v>1.4E-3</v>
      </c>
      <c r="AA213" s="663">
        <f t="shared" si="51"/>
        <v>11.9924</v>
      </c>
      <c r="AC213" s="673" t="s">
        <v>912</v>
      </c>
    </row>
    <row r="214" spans="1:29">
      <c r="A214" s="673">
        <v>184</v>
      </c>
      <c r="C214" s="688" t="s">
        <v>932</v>
      </c>
      <c r="D214" s="689"/>
      <c r="E214" s="690" t="s">
        <v>912</v>
      </c>
      <c r="F214" s="690"/>
      <c r="G214" s="690" t="s">
        <v>962</v>
      </c>
      <c r="H214" s="689"/>
      <c r="I214" s="691" t="s">
        <v>965</v>
      </c>
      <c r="J214" s="689"/>
      <c r="K214" s="694">
        <v>0</v>
      </c>
      <c r="L214" s="689"/>
      <c r="M214" s="694">
        <v>4650</v>
      </c>
      <c r="N214" s="689"/>
      <c r="O214" s="695">
        <v>10.0375</v>
      </c>
      <c r="P214" s="689"/>
      <c r="Q214" s="696">
        <f t="shared" si="48"/>
        <v>0</v>
      </c>
      <c r="R214" s="689"/>
      <c r="S214" s="697">
        <v>0</v>
      </c>
      <c r="T214" s="689"/>
      <c r="U214" s="698">
        <f t="shared" si="49"/>
        <v>0</v>
      </c>
      <c r="V214" s="689"/>
      <c r="W214" s="696">
        <f t="shared" si="50"/>
        <v>0</v>
      </c>
      <c r="Y214" s="699">
        <v>1.4E-3</v>
      </c>
      <c r="AA214" s="663">
        <f t="shared" si="51"/>
        <v>6.51</v>
      </c>
      <c r="AC214" s="673" t="s">
        <v>912</v>
      </c>
    </row>
    <row r="215" spans="1:29">
      <c r="A215" s="673">
        <v>185</v>
      </c>
      <c r="C215" s="688" t="s">
        <v>966</v>
      </c>
      <c r="D215" s="689"/>
      <c r="E215" s="690" t="s">
        <v>912</v>
      </c>
      <c r="F215" s="690"/>
      <c r="G215" s="690" t="s">
        <v>962</v>
      </c>
      <c r="H215" s="689"/>
      <c r="I215" s="691" t="s">
        <v>967</v>
      </c>
      <c r="J215" s="689"/>
      <c r="K215" s="694">
        <v>0</v>
      </c>
      <c r="L215" s="689"/>
      <c r="M215" s="694">
        <v>207823</v>
      </c>
      <c r="N215" s="689"/>
      <c r="O215" s="695">
        <v>10.0375</v>
      </c>
      <c r="P215" s="689"/>
      <c r="Q215" s="696">
        <f t="shared" si="48"/>
        <v>0</v>
      </c>
      <c r="R215" s="689"/>
      <c r="S215" s="697">
        <v>0</v>
      </c>
      <c r="T215" s="689"/>
      <c r="U215" s="698">
        <f t="shared" si="49"/>
        <v>0</v>
      </c>
      <c r="V215" s="689"/>
      <c r="W215" s="696">
        <f t="shared" si="50"/>
        <v>0</v>
      </c>
      <c r="Y215" s="699">
        <v>1.4E-3</v>
      </c>
      <c r="AA215" s="663">
        <f t="shared" si="51"/>
        <v>290.9522</v>
      </c>
      <c r="AC215" s="673" t="s">
        <v>912</v>
      </c>
    </row>
    <row r="216" spans="1:29">
      <c r="A216" s="673">
        <v>186</v>
      </c>
      <c r="C216" s="688" t="s">
        <v>966</v>
      </c>
      <c r="D216" s="689"/>
      <c r="E216" s="690" t="s">
        <v>912</v>
      </c>
      <c r="F216" s="690"/>
      <c r="G216" s="690" t="s">
        <v>962</v>
      </c>
      <c r="H216" s="689"/>
      <c r="I216" s="691" t="s">
        <v>968</v>
      </c>
      <c r="J216" s="689"/>
      <c r="K216" s="694">
        <v>0</v>
      </c>
      <c r="L216" s="689"/>
      <c r="M216" s="694">
        <v>6110</v>
      </c>
      <c r="N216" s="689"/>
      <c r="O216" s="695">
        <v>10.0375</v>
      </c>
      <c r="P216" s="689"/>
      <c r="Q216" s="696">
        <f t="shared" si="48"/>
        <v>0</v>
      </c>
      <c r="R216" s="689"/>
      <c r="S216" s="697">
        <v>0</v>
      </c>
      <c r="T216" s="689"/>
      <c r="U216" s="698">
        <f t="shared" si="49"/>
        <v>0</v>
      </c>
      <c r="V216" s="689"/>
      <c r="W216" s="696">
        <f t="shared" si="50"/>
        <v>0</v>
      </c>
      <c r="Y216" s="699">
        <v>1.4E-3</v>
      </c>
      <c r="AA216" s="663">
        <f t="shared" si="51"/>
        <v>8.5540000000000003</v>
      </c>
      <c r="AC216" s="673" t="s">
        <v>912</v>
      </c>
    </row>
    <row r="217" spans="1:29">
      <c r="A217" s="673">
        <v>187</v>
      </c>
      <c r="C217" s="688" t="s">
        <v>969</v>
      </c>
      <c r="D217" s="689"/>
      <c r="E217" s="690" t="s">
        <v>912</v>
      </c>
      <c r="F217" s="690"/>
      <c r="G217" s="690" t="s">
        <v>970</v>
      </c>
      <c r="H217" s="689"/>
      <c r="I217" s="691" t="s">
        <v>971</v>
      </c>
      <c r="J217" s="689"/>
      <c r="K217" s="694">
        <v>500</v>
      </c>
      <c r="L217" s="693"/>
      <c r="M217" s="694">
        <v>0</v>
      </c>
      <c r="N217" s="689"/>
      <c r="O217" s="695">
        <v>10.0375</v>
      </c>
      <c r="P217" s="689"/>
      <c r="Q217" s="696">
        <f t="shared" si="48"/>
        <v>5018.75</v>
      </c>
      <c r="R217" s="689"/>
      <c r="S217" s="697">
        <v>0</v>
      </c>
      <c r="T217" s="689"/>
      <c r="U217" s="698">
        <f t="shared" si="49"/>
        <v>0</v>
      </c>
      <c r="V217" s="689"/>
      <c r="W217" s="696">
        <f t="shared" si="50"/>
        <v>5018.75</v>
      </c>
      <c r="Y217" s="699">
        <v>1.4E-3</v>
      </c>
      <c r="AA217" s="663">
        <f t="shared" si="51"/>
        <v>0</v>
      </c>
      <c r="AC217" s="673" t="s">
        <v>912</v>
      </c>
    </row>
    <row r="218" spans="1:29">
      <c r="A218" s="673">
        <v>188</v>
      </c>
      <c r="C218" s="688" t="s">
        <v>972</v>
      </c>
      <c r="D218" s="689"/>
      <c r="E218" s="690" t="s">
        <v>912</v>
      </c>
      <c r="F218" s="690"/>
      <c r="G218" s="690" t="s">
        <v>970</v>
      </c>
      <c r="H218" s="689"/>
      <c r="I218" s="691" t="s">
        <v>973</v>
      </c>
      <c r="J218" s="689"/>
      <c r="K218" s="694">
        <v>150</v>
      </c>
      <c r="L218" s="693"/>
      <c r="M218" s="694">
        <v>0</v>
      </c>
      <c r="N218" s="689"/>
      <c r="O218" s="695">
        <v>10.0375</v>
      </c>
      <c r="P218" s="689"/>
      <c r="Q218" s="696">
        <f t="shared" si="48"/>
        <v>1505.625</v>
      </c>
      <c r="R218" s="689"/>
      <c r="S218" s="697">
        <v>0</v>
      </c>
      <c r="T218" s="689"/>
      <c r="U218" s="698">
        <f t="shared" si="49"/>
        <v>0</v>
      </c>
      <c r="V218" s="689"/>
      <c r="W218" s="696">
        <f t="shared" si="50"/>
        <v>1505.625</v>
      </c>
      <c r="Y218" s="699">
        <v>1.4E-3</v>
      </c>
      <c r="AA218" s="663">
        <f t="shared" si="51"/>
        <v>0</v>
      </c>
      <c r="AC218" s="673" t="s">
        <v>912</v>
      </c>
    </row>
    <row r="219" spans="1:29">
      <c r="A219" s="673">
        <v>189</v>
      </c>
      <c r="C219" s="688" t="s">
        <v>974</v>
      </c>
      <c r="D219" s="689"/>
      <c r="E219" s="690" t="s">
        <v>912</v>
      </c>
      <c r="F219" s="690"/>
      <c r="G219" s="690" t="s">
        <v>970</v>
      </c>
      <c r="H219" s="689"/>
      <c r="I219" s="691" t="s">
        <v>975</v>
      </c>
      <c r="J219" s="689"/>
      <c r="K219" s="694">
        <v>20000</v>
      </c>
      <c r="L219" s="693"/>
      <c r="M219" s="694">
        <v>0</v>
      </c>
      <c r="N219" s="689"/>
      <c r="O219" s="695">
        <v>10.0375</v>
      </c>
      <c r="P219" s="689"/>
      <c r="Q219" s="696">
        <f t="shared" si="48"/>
        <v>200750</v>
      </c>
      <c r="R219" s="689"/>
      <c r="S219" s="697">
        <v>0</v>
      </c>
      <c r="T219" s="689"/>
      <c r="U219" s="698">
        <f t="shared" si="49"/>
        <v>0</v>
      </c>
      <c r="V219" s="689"/>
      <c r="W219" s="696">
        <f t="shared" si="50"/>
        <v>200750</v>
      </c>
      <c r="Y219" s="699">
        <v>1.4E-3</v>
      </c>
      <c r="AA219" s="663">
        <f t="shared" si="51"/>
        <v>0</v>
      </c>
      <c r="AC219" s="673" t="s">
        <v>912</v>
      </c>
    </row>
    <row r="220" spans="1:29">
      <c r="A220" s="673">
        <v>190</v>
      </c>
      <c r="C220" s="700" t="s">
        <v>976</v>
      </c>
      <c r="D220" s="689"/>
      <c r="E220" s="690"/>
      <c r="F220" s="690"/>
      <c r="G220" s="690"/>
      <c r="H220" s="689"/>
      <c r="I220" s="690"/>
      <c r="J220" s="689"/>
      <c r="K220" s="702">
        <f>SUM(K212:K219)</f>
        <v>20650</v>
      </c>
      <c r="L220" s="689"/>
      <c r="M220" s="702">
        <f>SUM(M212:M219)</f>
        <v>233239</v>
      </c>
      <c r="N220" s="689"/>
      <c r="O220" s="689"/>
      <c r="P220" s="689"/>
      <c r="Q220" s="703">
        <f>SUM(Q212:Q219)</f>
        <v>207274.375</v>
      </c>
      <c r="R220" s="689"/>
      <c r="S220" s="689"/>
      <c r="T220" s="689"/>
      <c r="U220" s="703">
        <f>SUM(U212:U219)</f>
        <v>0</v>
      </c>
      <c r="V220" s="689"/>
      <c r="W220" s="703">
        <f>SUM(W212:W219)</f>
        <v>207274.375</v>
      </c>
      <c r="AA220" s="703">
        <f>SUM(AA212:AA219)</f>
        <v>326.53459999999995</v>
      </c>
    </row>
    <row r="221" spans="1:29">
      <c r="C221" s="700" t="s">
        <v>877</v>
      </c>
      <c r="D221" s="689"/>
      <c r="E221" s="690"/>
      <c r="F221" s="690"/>
      <c r="G221" s="690"/>
      <c r="H221" s="689"/>
      <c r="I221" s="690"/>
      <c r="J221" s="689"/>
      <c r="K221" s="707"/>
      <c r="L221" s="689"/>
      <c r="M221" s="693"/>
      <c r="N221" s="689"/>
      <c r="O221" s="689"/>
      <c r="P221" s="689"/>
      <c r="Q221" s="689"/>
      <c r="R221" s="689"/>
      <c r="S221" s="689"/>
      <c r="T221" s="689"/>
      <c r="U221" s="689"/>
      <c r="V221" s="689"/>
      <c r="W221" s="689"/>
    </row>
    <row r="222" spans="1:29">
      <c r="A222" s="673">
        <v>191</v>
      </c>
      <c r="C222" s="688" t="s">
        <v>932</v>
      </c>
      <c r="D222" s="689"/>
      <c r="E222" s="690" t="s">
        <v>912</v>
      </c>
      <c r="F222" s="690"/>
      <c r="G222" s="690" t="s">
        <v>977</v>
      </c>
      <c r="H222" s="689"/>
      <c r="I222" s="691" t="s">
        <v>978</v>
      </c>
      <c r="J222" s="689"/>
      <c r="K222" s="707">
        <v>0</v>
      </c>
      <c r="L222" s="689"/>
      <c r="M222" s="694">
        <v>38237</v>
      </c>
      <c r="N222" s="689"/>
      <c r="O222" s="695">
        <v>0</v>
      </c>
      <c r="P222" s="689"/>
      <c r="Q222" s="696">
        <f t="shared" ref="Q222" si="52">K222*O222</f>
        <v>0</v>
      </c>
      <c r="R222" s="689"/>
      <c r="S222" s="709">
        <v>0.33</v>
      </c>
      <c r="T222" s="689"/>
      <c r="U222" s="698">
        <f t="shared" ref="U222" si="53">S222*M222</f>
        <v>12618.210000000001</v>
      </c>
      <c r="V222" s="689"/>
      <c r="W222" s="696">
        <f t="shared" ref="W222" si="54">U222+Q222</f>
        <v>12618.210000000001</v>
      </c>
      <c r="Y222" s="699">
        <v>1.4E-3</v>
      </c>
      <c r="AA222" s="663">
        <f>Y222*M222</f>
        <v>53.531799999999997</v>
      </c>
      <c r="AC222" s="673" t="s">
        <v>912</v>
      </c>
    </row>
    <row r="223" spans="1:29">
      <c r="A223" s="673">
        <v>192</v>
      </c>
      <c r="C223" s="700" t="s">
        <v>982</v>
      </c>
      <c r="D223" s="689"/>
      <c r="E223" s="690"/>
      <c r="F223" s="690"/>
      <c r="G223" s="690"/>
      <c r="H223" s="689"/>
      <c r="I223" s="690"/>
      <c r="J223" s="689"/>
      <c r="K223" s="702">
        <f>SUM(K222)</f>
        <v>0</v>
      </c>
      <c r="L223" s="689"/>
      <c r="M223" s="702">
        <f>SUM(M222)</f>
        <v>38237</v>
      </c>
      <c r="N223" s="689"/>
      <c r="O223" s="689"/>
      <c r="P223" s="689"/>
      <c r="Q223" s="703">
        <f>SUM(Q222)</f>
        <v>0</v>
      </c>
      <c r="R223" s="689"/>
      <c r="S223" s="689"/>
      <c r="T223" s="689"/>
      <c r="U223" s="703">
        <f>SUM(U222)</f>
        <v>12618.210000000001</v>
      </c>
      <c r="V223" s="689"/>
      <c r="W223" s="703">
        <f>SUM(W222)</f>
        <v>12618.210000000001</v>
      </c>
      <c r="AA223" s="703">
        <f>SUM(AA222)</f>
        <v>53.531799999999997</v>
      </c>
    </row>
    <row r="225" spans="1:32">
      <c r="C225" s="677" t="s">
        <v>988</v>
      </c>
      <c r="D225" s="677"/>
      <c r="E225" s="678"/>
      <c r="F225" s="678"/>
      <c r="G225" s="678"/>
      <c r="H225" s="677"/>
      <c r="I225" s="678"/>
      <c r="J225" s="677"/>
      <c r="K225" s="679"/>
      <c r="L225" s="677"/>
      <c r="M225" s="680"/>
      <c r="N225" s="677"/>
      <c r="O225" s="677"/>
      <c r="P225" s="677"/>
      <c r="Q225" s="677"/>
      <c r="R225" s="677"/>
      <c r="S225" s="677"/>
      <c r="T225" s="677"/>
      <c r="U225" s="677"/>
      <c r="V225" s="677"/>
      <c r="W225" s="677"/>
      <c r="X225" s="677"/>
      <c r="Y225" s="677"/>
      <c r="Z225" s="677"/>
      <c r="AA225" s="677"/>
      <c r="AB225" s="677"/>
      <c r="AC225" s="677"/>
    </row>
    <row r="226" spans="1:32" s="682" customFormat="1">
      <c r="A226" s="673"/>
      <c r="C226" s="683" t="s">
        <v>876</v>
      </c>
      <c r="D226" s="684"/>
      <c r="E226" s="685"/>
      <c r="F226" s="685"/>
      <c r="G226" s="685"/>
      <c r="H226" s="684"/>
      <c r="I226" s="685"/>
      <c r="J226" s="684"/>
      <c r="K226" s="686"/>
      <c r="L226" s="684"/>
      <c r="M226" s="687"/>
      <c r="N226" s="684"/>
      <c r="O226" s="684"/>
      <c r="P226" s="684"/>
      <c r="Q226" s="684"/>
      <c r="R226" s="684"/>
      <c r="S226" s="684"/>
      <c r="T226" s="684"/>
      <c r="U226" s="684"/>
      <c r="V226" s="684"/>
      <c r="W226" s="684"/>
      <c r="X226" s="684"/>
      <c r="Y226" s="684"/>
      <c r="Z226" s="684"/>
      <c r="AA226" s="684"/>
      <c r="AB226" s="684"/>
      <c r="AC226" s="684"/>
    </row>
    <row r="227" spans="1:32">
      <c r="A227" s="673">
        <v>193</v>
      </c>
      <c r="C227" s="713" t="s">
        <v>911</v>
      </c>
      <c r="E227" s="673" t="s">
        <v>912</v>
      </c>
      <c r="G227" s="673" t="s">
        <v>913</v>
      </c>
      <c r="I227" s="714" t="s">
        <v>914</v>
      </c>
      <c r="K227" s="707">
        <v>105750</v>
      </c>
      <c r="M227" s="715">
        <v>2207564</v>
      </c>
      <c r="O227" s="716">
        <v>10.0375</v>
      </c>
      <c r="Q227" s="717">
        <f>K227*O227</f>
        <v>1061465.625</v>
      </c>
      <c r="S227" s="718">
        <v>0</v>
      </c>
      <c r="U227" s="706">
        <f>M227*S227</f>
        <v>0</v>
      </c>
      <c r="W227" s="708">
        <f>Q227+U227</f>
        <v>1061465.625</v>
      </c>
      <c r="Y227" s="699">
        <v>1.4E-3</v>
      </c>
      <c r="AA227" s="663">
        <f t="shared" ref="AA227:AA246" si="55">Y227*M227</f>
        <v>3090.5895999999998</v>
      </c>
      <c r="AC227" s="673" t="s">
        <v>912</v>
      </c>
    </row>
    <row r="228" spans="1:32">
      <c r="A228" s="673">
        <v>194</v>
      </c>
      <c r="C228" s="713" t="s">
        <v>915</v>
      </c>
      <c r="E228" s="673" t="s">
        <v>912</v>
      </c>
      <c r="G228" s="673" t="s">
        <v>913</v>
      </c>
      <c r="I228" s="714" t="s">
        <v>916</v>
      </c>
      <c r="K228" s="707">
        <v>200</v>
      </c>
      <c r="M228" s="719">
        <v>769</v>
      </c>
      <c r="O228" s="716">
        <v>10.0375</v>
      </c>
      <c r="Q228" s="717">
        <f t="shared" ref="Q228:Q246" si="56">K228*O228</f>
        <v>2007.5</v>
      </c>
      <c r="S228" s="718">
        <v>0</v>
      </c>
      <c r="U228" s="706">
        <f t="shared" ref="U228:U245" si="57">M228*S228</f>
        <v>0</v>
      </c>
      <c r="W228" s="708">
        <f t="shared" ref="W228:W258" si="58">Q228+U228</f>
        <v>2007.5</v>
      </c>
      <c r="Y228" s="699">
        <v>1.4E-3</v>
      </c>
      <c r="AA228" s="663">
        <f t="shared" si="55"/>
        <v>1.0766</v>
      </c>
      <c r="AC228" s="673" t="s">
        <v>912</v>
      </c>
    </row>
    <row r="229" spans="1:32">
      <c r="A229" s="673">
        <v>195</v>
      </c>
      <c r="C229" s="713" t="s">
        <v>917</v>
      </c>
      <c r="E229" s="673" t="s">
        <v>912</v>
      </c>
      <c r="G229" s="673" t="s">
        <v>913</v>
      </c>
      <c r="I229" s="714" t="s">
        <v>918</v>
      </c>
      <c r="K229" s="707">
        <v>1200</v>
      </c>
      <c r="M229" s="719">
        <v>1500</v>
      </c>
      <c r="O229" s="716">
        <v>10.0375</v>
      </c>
      <c r="Q229" s="717">
        <f t="shared" si="56"/>
        <v>12045</v>
      </c>
      <c r="S229" s="718">
        <v>0</v>
      </c>
      <c r="U229" s="706">
        <f t="shared" si="57"/>
        <v>0</v>
      </c>
      <c r="W229" s="708">
        <f t="shared" si="58"/>
        <v>12045</v>
      </c>
      <c r="Y229" s="699">
        <v>1.4E-3</v>
      </c>
      <c r="AA229" s="663">
        <f t="shared" si="55"/>
        <v>2.1</v>
      </c>
      <c r="AC229" s="673" t="s">
        <v>912</v>
      </c>
    </row>
    <row r="230" spans="1:32">
      <c r="A230" s="673">
        <v>196</v>
      </c>
      <c r="C230" s="713" t="s">
        <v>919</v>
      </c>
      <c r="E230" s="673" t="s">
        <v>912</v>
      </c>
      <c r="G230" s="673" t="s">
        <v>913</v>
      </c>
      <c r="I230" s="714" t="s">
        <v>920</v>
      </c>
      <c r="K230" s="707">
        <v>1550</v>
      </c>
      <c r="M230" s="715">
        <v>0</v>
      </c>
      <c r="O230" s="716">
        <v>10.0375</v>
      </c>
      <c r="Q230" s="717">
        <f t="shared" si="56"/>
        <v>15558.125</v>
      </c>
      <c r="S230" s="718">
        <v>0</v>
      </c>
      <c r="U230" s="706">
        <f t="shared" si="57"/>
        <v>0</v>
      </c>
      <c r="W230" s="708">
        <f t="shared" si="58"/>
        <v>15558.125</v>
      </c>
      <c r="Y230" s="699">
        <v>1.4E-3</v>
      </c>
      <c r="AA230" s="663">
        <f t="shared" si="55"/>
        <v>0</v>
      </c>
      <c r="AC230" s="673" t="s">
        <v>912</v>
      </c>
    </row>
    <row r="231" spans="1:32">
      <c r="A231" s="673">
        <v>197</v>
      </c>
      <c r="C231" s="713" t="s">
        <v>911</v>
      </c>
      <c r="E231" s="673" t="s">
        <v>912</v>
      </c>
      <c r="G231" s="673" t="s">
        <v>913</v>
      </c>
      <c r="I231" s="714" t="s">
        <v>921</v>
      </c>
      <c r="K231" s="707">
        <v>10000</v>
      </c>
      <c r="M231" s="715">
        <v>300000</v>
      </c>
      <c r="O231" s="716">
        <v>10.0375</v>
      </c>
      <c r="Q231" s="717">
        <f t="shared" si="56"/>
        <v>100375</v>
      </c>
      <c r="S231" s="718">
        <v>0</v>
      </c>
      <c r="U231" s="706">
        <f t="shared" si="57"/>
        <v>0</v>
      </c>
      <c r="W231" s="708">
        <f t="shared" si="58"/>
        <v>100375</v>
      </c>
      <c r="Y231" s="699">
        <v>1.4E-3</v>
      </c>
      <c r="AA231" s="663">
        <f t="shared" si="55"/>
        <v>420</v>
      </c>
      <c r="AC231" s="673" t="s">
        <v>912</v>
      </c>
    </row>
    <row r="232" spans="1:32">
      <c r="A232" s="673">
        <v>198</v>
      </c>
      <c r="C232" s="713" t="s">
        <v>922</v>
      </c>
      <c r="E232" s="673" t="s">
        <v>912</v>
      </c>
      <c r="G232" s="673" t="s">
        <v>913</v>
      </c>
      <c r="I232" s="714" t="s">
        <v>923</v>
      </c>
      <c r="K232" s="707">
        <v>200</v>
      </c>
      <c r="M232" s="715">
        <v>0</v>
      </c>
      <c r="O232" s="716">
        <v>10.0375</v>
      </c>
      <c r="Q232" s="717">
        <f t="shared" si="56"/>
        <v>2007.5</v>
      </c>
      <c r="S232" s="718">
        <v>0</v>
      </c>
      <c r="U232" s="706">
        <f t="shared" si="57"/>
        <v>0</v>
      </c>
      <c r="W232" s="708">
        <f t="shared" si="58"/>
        <v>2007.5</v>
      </c>
      <c r="Y232" s="699">
        <v>1.4E-3</v>
      </c>
      <c r="AA232" s="663">
        <f t="shared" si="55"/>
        <v>0</v>
      </c>
      <c r="AC232" s="673" t="s">
        <v>912</v>
      </c>
      <c r="AF232" s="708"/>
    </row>
    <row r="233" spans="1:32">
      <c r="A233" s="673">
        <v>199</v>
      </c>
      <c r="C233" s="713" t="s">
        <v>989</v>
      </c>
      <c r="E233" s="673" t="s">
        <v>912</v>
      </c>
      <c r="G233" s="673" t="s">
        <v>913</v>
      </c>
      <c r="I233" s="714" t="s">
        <v>925</v>
      </c>
      <c r="K233" s="707">
        <v>550</v>
      </c>
      <c r="M233" s="715">
        <v>10450</v>
      </c>
      <c r="O233" s="716">
        <v>10.0375</v>
      </c>
      <c r="Q233" s="717">
        <f t="shared" si="56"/>
        <v>5520.625</v>
      </c>
      <c r="S233" s="718">
        <v>0</v>
      </c>
      <c r="U233" s="706">
        <f t="shared" si="57"/>
        <v>0</v>
      </c>
      <c r="W233" s="708">
        <f t="shared" si="58"/>
        <v>5520.625</v>
      </c>
      <c r="Y233" s="699">
        <v>1.4E-3</v>
      </c>
      <c r="AA233" s="663">
        <f t="shared" si="55"/>
        <v>14.629999999999999</v>
      </c>
      <c r="AC233" s="673" t="s">
        <v>912</v>
      </c>
    </row>
    <row r="234" spans="1:32">
      <c r="A234" s="673">
        <v>200</v>
      </c>
      <c r="C234" s="713" t="s">
        <v>911</v>
      </c>
      <c r="E234" s="673" t="s">
        <v>912</v>
      </c>
      <c r="G234" s="673" t="s">
        <v>913</v>
      </c>
      <c r="I234" s="714" t="s">
        <v>926</v>
      </c>
      <c r="K234" s="707">
        <v>5661</v>
      </c>
      <c r="M234" s="719">
        <v>169830</v>
      </c>
      <c r="O234" s="716">
        <v>10.0375</v>
      </c>
      <c r="Q234" s="717">
        <f t="shared" si="56"/>
        <v>56822.287499999999</v>
      </c>
      <c r="S234" s="718">
        <v>0</v>
      </c>
      <c r="U234" s="706">
        <f t="shared" si="57"/>
        <v>0</v>
      </c>
      <c r="W234" s="708">
        <f t="shared" si="58"/>
        <v>56822.287499999999</v>
      </c>
      <c r="Y234" s="699">
        <v>1.4E-3</v>
      </c>
      <c r="AA234" s="663">
        <f t="shared" si="55"/>
        <v>237.762</v>
      </c>
      <c r="AC234" s="673" t="s">
        <v>912</v>
      </c>
    </row>
    <row r="235" spans="1:32">
      <c r="A235" s="673">
        <v>201</v>
      </c>
      <c r="C235" s="713" t="s">
        <v>911</v>
      </c>
      <c r="E235" s="673" t="s">
        <v>912</v>
      </c>
      <c r="G235" s="673" t="s">
        <v>913</v>
      </c>
      <c r="I235" s="714" t="s">
        <v>927</v>
      </c>
      <c r="K235" s="707">
        <v>5690</v>
      </c>
      <c r="M235" s="719">
        <v>170700</v>
      </c>
      <c r="O235" s="716">
        <v>10.0375</v>
      </c>
      <c r="Q235" s="717">
        <f t="shared" si="56"/>
        <v>57113.375</v>
      </c>
      <c r="S235" s="718">
        <v>0</v>
      </c>
      <c r="U235" s="706">
        <f t="shared" si="57"/>
        <v>0</v>
      </c>
      <c r="W235" s="708">
        <f t="shared" si="58"/>
        <v>57113.375</v>
      </c>
      <c r="Y235" s="699">
        <v>1.4E-3</v>
      </c>
      <c r="AA235" s="663">
        <f t="shared" si="55"/>
        <v>238.98</v>
      </c>
      <c r="AC235" s="673" t="s">
        <v>912</v>
      </c>
    </row>
    <row r="236" spans="1:32">
      <c r="A236" s="673">
        <v>202</v>
      </c>
      <c r="C236" s="713" t="s">
        <v>928</v>
      </c>
      <c r="E236" s="673" t="s">
        <v>912</v>
      </c>
      <c r="G236" s="673" t="s">
        <v>913</v>
      </c>
      <c r="I236" s="714" t="s">
        <v>929</v>
      </c>
      <c r="K236" s="707">
        <v>8000</v>
      </c>
      <c r="M236" s="715">
        <v>0</v>
      </c>
      <c r="O236" s="716">
        <v>10.0375</v>
      </c>
      <c r="Q236" s="717">
        <f t="shared" si="56"/>
        <v>80300</v>
      </c>
      <c r="S236" s="718">
        <v>0</v>
      </c>
      <c r="U236" s="706">
        <f t="shared" si="57"/>
        <v>0</v>
      </c>
      <c r="W236" s="708">
        <f t="shared" si="58"/>
        <v>80300</v>
      </c>
      <c r="Y236" s="699">
        <v>1.4E-3</v>
      </c>
      <c r="AA236" s="663">
        <f t="shared" si="55"/>
        <v>0</v>
      </c>
      <c r="AC236" s="673" t="s">
        <v>912</v>
      </c>
    </row>
    <row r="237" spans="1:32">
      <c r="A237" s="673">
        <v>203</v>
      </c>
      <c r="C237" s="713" t="s">
        <v>928</v>
      </c>
      <c r="E237" s="673" t="s">
        <v>912</v>
      </c>
      <c r="G237" s="673" t="s">
        <v>913</v>
      </c>
      <c r="I237" s="714" t="s">
        <v>930</v>
      </c>
      <c r="K237" s="707">
        <v>16500</v>
      </c>
      <c r="M237" s="715">
        <v>0</v>
      </c>
      <c r="O237" s="716">
        <v>10.0375</v>
      </c>
      <c r="Q237" s="717">
        <f t="shared" si="56"/>
        <v>165618.75</v>
      </c>
      <c r="S237" s="718">
        <v>0</v>
      </c>
      <c r="U237" s="706">
        <f t="shared" si="57"/>
        <v>0</v>
      </c>
      <c r="W237" s="708">
        <f t="shared" si="58"/>
        <v>165618.75</v>
      </c>
      <c r="Y237" s="699">
        <v>1.4E-3</v>
      </c>
      <c r="AA237" s="663">
        <f t="shared" si="55"/>
        <v>0</v>
      </c>
      <c r="AC237" s="673" t="s">
        <v>912</v>
      </c>
    </row>
    <row r="238" spans="1:32">
      <c r="A238" s="673">
        <v>204</v>
      </c>
      <c r="C238" s="713" t="s">
        <v>911</v>
      </c>
      <c r="E238" s="673" t="s">
        <v>912</v>
      </c>
      <c r="G238" s="673" t="s">
        <v>913</v>
      </c>
      <c r="I238" s="714" t="s">
        <v>931</v>
      </c>
      <c r="K238" s="707">
        <v>5722</v>
      </c>
      <c r="M238" s="719">
        <v>171660</v>
      </c>
      <c r="O238" s="716">
        <v>10.0375</v>
      </c>
      <c r="Q238" s="717">
        <f t="shared" si="56"/>
        <v>57434.574999999997</v>
      </c>
      <c r="S238" s="718">
        <v>0</v>
      </c>
      <c r="U238" s="706">
        <f t="shared" si="57"/>
        <v>0</v>
      </c>
      <c r="W238" s="708">
        <f t="shared" si="58"/>
        <v>57434.574999999997</v>
      </c>
      <c r="Y238" s="699">
        <v>1.4E-3</v>
      </c>
      <c r="AA238" s="663">
        <f t="shared" si="55"/>
        <v>240.32399999999998</v>
      </c>
      <c r="AC238" s="673" t="s">
        <v>912</v>
      </c>
    </row>
    <row r="239" spans="1:32">
      <c r="A239" s="673">
        <v>205</v>
      </c>
      <c r="C239" s="713" t="s">
        <v>932</v>
      </c>
      <c r="E239" s="673" t="s">
        <v>912</v>
      </c>
      <c r="G239" s="673" t="s">
        <v>913</v>
      </c>
      <c r="I239" s="714" t="s">
        <v>933</v>
      </c>
      <c r="K239" s="707">
        <v>760</v>
      </c>
      <c r="M239" s="715">
        <v>22541</v>
      </c>
      <c r="O239" s="716">
        <v>10.0375</v>
      </c>
      <c r="Q239" s="717">
        <f t="shared" si="56"/>
        <v>7628.5</v>
      </c>
      <c r="S239" s="718">
        <v>0</v>
      </c>
      <c r="U239" s="706">
        <f t="shared" si="57"/>
        <v>0</v>
      </c>
      <c r="W239" s="708">
        <f t="shared" si="58"/>
        <v>7628.5</v>
      </c>
      <c r="Y239" s="699">
        <v>1.4E-3</v>
      </c>
      <c r="AA239" s="663">
        <f t="shared" si="55"/>
        <v>31.557400000000001</v>
      </c>
      <c r="AC239" s="673" t="s">
        <v>912</v>
      </c>
    </row>
    <row r="240" spans="1:32">
      <c r="A240" s="673">
        <v>206</v>
      </c>
      <c r="C240" s="713" t="s">
        <v>922</v>
      </c>
      <c r="E240" s="673" t="s">
        <v>912</v>
      </c>
      <c r="G240" s="673" t="s">
        <v>913</v>
      </c>
      <c r="I240" s="714" t="s">
        <v>934</v>
      </c>
      <c r="K240" s="707">
        <v>150</v>
      </c>
      <c r="M240" s="715">
        <v>0</v>
      </c>
      <c r="O240" s="716">
        <v>10.0375</v>
      </c>
      <c r="Q240" s="717">
        <f t="shared" si="56"/>
        <v>1505.625</v>
      </c>
      <c r="S240" s="718">
        <v>0</v>
      </c>
      <c r="U240" s="706">
        <f t="shared" si="57"/>
        <v>0</v>
      </c>
      <c r="W240" s="708">
        <f t="shared" si="58"/>
        <v>1505.625</v>
      </c>
      <c r="Y240" s="699">
        <v>1.4E-3</v>
      </c>
      <c r="AA240" s="663">
        <f t="shared" si="55"/>
        <v>0</v>
      </c>
      <c r="AC240" s="673" t="s">
        <v>912</v>
      </c>
    </row>
    <row r="241" spans="1:32">
      <c r="A241" s="673">
        <v>207</v>
      </c>
      <c r="C241" s="713" t="s">
        <v>922</v>
      </c>
      <c r="E241" s="673" t="s">
        <v>912</v>
      </c>
      <c r="G241" s="673" t="s">
        <v>913</v>
      </c>
      <c r="I241" s="714" t="s">
        <v>935</v>
      </c>
      <c r="K241" s="707">
        <v>250</v>
      </c>
      <c r="M241" s="715">
        <v>0</v>
      </c>
      <c r="O241" s="716">
        <v>10.0375</v>
      </c>
      <c r="Q241" s="717">
        <f t="shared" si="56"/>
        <v>2509.375</v>
      </c>
      <c r="S241" s="718">
        <v>0</v>
      </c>
      <c r="U241" s="706">
        <f t="shared" si="57"/>
        <v>0</v>
      </c>
      <c r="W241" s="708">
        <f t="shared" si="58"/>
        <v>2509.375</v>
      </c>
      <c r="Y241" s="699">
        <v>1.4E-3</v>
      </c>
      <c r="AA241" s="663">
        <f t="shared" si="55"/>
        <v>0</v>
      </c>
      <c r="AC241" s="673" t="s">
        <v>912</v>
      </c>
      <c r="AF241" s="705"/>
    </row>
    <row r="242" spans="1:32">
      <c r="A242" s="673">
        <v>208</v>
      </c>
      <c r="C242" s="713" t="s">
        <v>922</v>
      </c>
      <c r="E242" s="673" t="s">
        <v>912</v>
      </c>
      <c r="G242" s="673" t="s">
        <v>913</v>
      </c>
      <c r="I242" s="714" t="s">
        <v>936</v>
      </c>
      <c r="K242" s="707">
        <v>400</v>
      </c>
      <c r="M242" s="719">
        <v>6000</v>
      </c>
      <c r="O242" s="716">
        <v>10.0375</v>
      </c>
      <c r="Q242" s="717">
        <f t="shared" si="56"/>
        <v>4015</v>
      </c>
      <c r="S242" s="718">
        <v>0</v>
      </c>
      <c r="U242" s="706">
        <f t="shared" si="57"/>
        <v>0</v>
      </c>
      <c r="W242" s="708">
        <f t="shared" si="58"/>
        <v>4015</v>
      </c>
      <c r="Y242" s="699">
        <v>1.4E-3</v>
      </c>
      <c r="AA242" s="663">
        <f t="shared" si="55"/>
        <v>8.4</v>
      </c>
      <c r="AC242" s="673" t="s">
        <v>912</v>
      </c>
    </row>
    <row r="243" spans="1:32">
      <c r="A243" s="673">
        <v>209</v>
      </c>
      <c r="C243" s="713" t="s">
        <v>911</v>
      </c>
      <c r="E243" s="673" t="s">
        <v>912</v>
      </c>
      <c r="G243" s="673" t="s">
        <v>913</v>
      </c>
      <c r="I243" s="714" t="s">
        <v>937</v>
      </c>
      <c r="K243" s="707">
        <v>40000</v>
      </c>
      <c r="M243" s="719">
        <v>185000</v>
      </c>
      <c r="O243" s="716">
        <v>10.0375</v>
      </c>
      <c r="Q243" s="717">
        <f t="shared" si="56"/>
        <v>401500</v>
      </c>
      <c r="S243" s="718">
        <v>0</v>
      </c>
      <c r="U243" s="706">
        <f t="shared" si="57"/>
        <v>0</v>
      </c>
      <c r="W243" s="708">
        <f t="shared" si="58"/>
        <v>401500</v>
      </c>
      <c r="Y243" s="699">
        <v>1.4E-3</v>
      </c>
      <c r="AA243" s="663">
        <f t="shared" si="55"/>
        <v>259</v>
      </c>
      <c r="AC243" s="673" t="s">
        <v>912</v>
      </c>
    </row>
    <row r="244" spans="1:32">
      <c r="A244" s="673">
        <v>210</v>
      </c>
      <c r="C244" s="713" t="s">
        <v>990</v>
      </c>
      <c r="E244" s="673" t="s">
        <v>912</v>
      </c>
      <c r="G244" s="673" t="s">
        <v>913</v>
      </c>
      <c r="I244" s="714" t="s">
        <v>939</v>
      </c>
      <c r="K244" s="707">
        <v>800</v>
      </c>
      <c r="M244" s="719">
        <v>15678</v>
      </c>
      <c r="O244" s="716">
        <v>10.0375</v>
      </c>
      <c r="Q244" s="717">
        <f t="shared" si="56"/>
        <v>8030</v>
      </c>
      <c r="S244" s="718">
        <v>0</v>
      </c>
      <c r="U244" s="706">
        <f t="shared" si="57"/>
        <v>0</v>
      </c>
      <c r="W244" s="708">
        <f t="shared" si="58"/>
        <v>8030</v>
      </c>
      <c r="Y244" s="699">
        <v>1.4E-3</v>
      </c>
      <c r="AA244" s="663">
        <f t="shared" si="55"/>
        <v>21.949200000000001</v>
      </c>
      <c r="AC244" s="673" t="s">
        <v>912</v>
      </c>
    </row>
    <row r="245" spans="1:32">
      <c r="A245" s="673">
        <v>211</v>
      </c>
      <c r="C245" s="713" t="s">
        <v>990</v>
      </c>
      <c r="E245" s="673" t="s">
        <v>912</v>
      </c>
      <c r="G245" s="673" t="s">
        <v>913</v>
      </c>
      <c r="I245" s="714" t="s">
        <v>940</v>
      </c>
      <c r="K245" s="707">
        <v>200</v>
      </c>
      <c r="M245" s="715">
        <v>0</v>
      </c>
      <c r="O245" s="716">
        <v>10.0375</v>
      </c>
      <c r="Q245" s="717">
        <f t="shared" si="56"/>
        <v>2007.5</v>
      </c>
      <c r="S245" s="718">
        <v>0</v>
      </c>
      <c r="U245" s="706">
        <f t="shared" si="57"/>
        <v>0</v>
      </c>
      <c r="W245" s="708">
        <f t="shared" si="58"/>
        <v>2007.5</v>
      </c>
      <c r="Y245" s="699">
        <v>1.4E-3</v>
      </c>
      <c r="AA245" s="663">
        <f t="shared" si="55"/>
        <v>0</v>
      </c>
      <c r="AC245" s="673" t="s">
        <v>912</v>
      </c>
    </row>
    <row r="246" spans="1:32">
      <c r="A246" s="673">
        <v>212</v>
      </c>
      <c r="C246" s="713" t="s">
        <v>990</v>
      </c>
      <c r="E246" s="673" t="s">
        <v>912</v>
      </c>
      <c r="G246" s="673" t="s">
        <v>913</v>
      </c>
      <c r="I246" s="714" t="s">
        <v>941</v>
      </c>
      <c r="K246" s="720">
        <v>400</v>
      </c>
      <c r="M246" s="721">
        <v>0</v>
      </c>
      <c r="O246" s="716">
        <v>10.0375</v>
      </c>
      <c r="Q246" s="722">
        <f t="shared" si="56"/>
        <v>4015</v>
      </c>
      <c r="S246" s="718">
        <v>0</v>
      </c>
      <c r="U246" s="706">
        <f>M246*S246</f>
        <v>0</v>
      </c>
      <c r="W246" s="723">
        <f>Q246+U246</f>
        <v>4015</v>
      </c>
      <c r="Y246" s="699">
        <v>1.4E-3</v>
      </c>
      <c r="AA246" s="663">
        <f t="shared" si="55"/>
        <v>0</v>
      </c>
      <c r="AC246" s="673" t="s">
        <v>912</v>
      </c>
      <c r="AF246" s="705"/>
    </row>
    <row r="247" spans="1:32">
      <c r="A247" s="673">
        <v>213</v>
      </c>
      <c r="C247" s="700" t="s">
        <v>960</v>
      </c>
      <c r="I247" s="714"/>
      <c r="K247" s="724">
        <f>SUM(K227:K246)</f>
        <v>203983</v>
      </c>
      <c r="M247" s="725">
        <f>SUM(M227:M246)</f>
        <v>3261692</v>
      </c>
      <c r="O247" s="716"/>
      <c r="Q247" s="726">
        <f>SUM(Q227:Q246)</f>
        <v>2047479.3625</v>
      </c>
      <c r="S247" s="718"/>
      <c r="U247" s="706">
        <f>SUM(U227:U246)</f>
        <v>0</v>
      </c>
      <c r="V247" s="727"/>
      <c r="W247" s="728">
        <f>SUM(W227:W246)</f>
        <v>2047479.3625</v>
      </c>
      <c r="AA247" s="703">
        <f>SUM(AA227:AA246)</f>
        <v>4566.3687999999993</v>
      </c>
    </row>
    <row r="248" spans="1:32">
      <c r="C248" s="700" t="s">
        <v>961</v>
      </c>
      <c r="I248" s="714"/>
      <c r="K248" s="707"/>
      <c r="O248" s="716"/>
      <c r="Q248" s="717"/>
      <c r="S248" s="718"/>
      <c r="U248" s="706"/>
      <c r="W248" s="708"/>
    </row>
    <row r="249" spans="1:32">
      <c r="A249" s="673">
        <v>214</v>
      </c>
      <c r="C249" s="729" t="s">
        <v>958</v>
      </c>
      <c r="D249" s="682"/>
      <c r="E249" s="681" t="s">
        <v>912</v>
      </c>
      <c r="F249" s="681"/>
      <c r="G249" s="681" t="s">
        <v>962</v>
      </c>
      <c r="H249" s="682"/>
      <c r="I249" s="730" t="s">
        <v>964</v>
      </c>
      <c r="J249" s="682"/>
      <c r="K249" s="731">
        <v>0</v>
      </c>
      <c r="M249" s="715">
        <v>6345</v>
      </c>
      <c r="O249" s="716">
        <v>10.0375</v>
      </c>
      <c r="Q249" s="717">
        <f>K249*O249</f>
        <v>0</v>
      </c>
      <c r="S249" s="718">
        <v>0</v>
      </c>
      <c r="U249" s="706">
        <f>M249*S249</f>
        <v>0</v>
      </c>
      <c r="W249" s="708">
        <f>Q249+U249</f>
        <v>0</v>
      </c>
      <c r="Y249" s="699">
        <v>1.4E-3</v>
      </c>
      <c r="AA249" s="663">
        <f t="shared" ref="AA249:AA255" si="59">Y249*M249</f>
        <v>8.8829999999999991</v>
      </c>
      <c r="AC249" s="673" t="s">
        <v>912</v>
      </c>
      <c r="AE249" s="705"/>
    </row>
    <row r="250" spans="1:32">
      <c r="A250" s="673">
        <v>215</v>
      </c>
      <c r="C250" s="729" t="s">
        <v>932</v>
      </c>
      <c r="D250" s="682"/>
      <c r="E250" s="681" t="s">
        <v>912</v>
      </c>
      <c r="F250" s="681"/>
      <c r="G250" s="681" t="s">
        <v>962</v>
      </c>
      <c r="H250" s="682"/>
      <c r="I250" s="730" t="s">
        <v>965</v>
      </c>
      <c r="J250" s="682"/>
      <c r="K250" s="731">
        <v>0</v>
      </c>
      <c r="M250" s="715">
        <v>4500</v>
      </c>
      <c r="O250" s="716">
        <v>10.0375</v>
      </c>
      <c r="Q250" s="717">
        <f t="shared" ref="Q250:Q255" si="60">K250*O250</f>
        <v>0</v>
      </c>
      <c r="S250" s="718">
        <v>0</v>
      </c>
      <c r="U250" s="706">
        <f t="shared" ref="U250:U255" si="61">M250*S250</f>
        <v>0</v>
      </c>
      <c r="W250" s="708">
        <f t="shared" ref="W250:W255" si="62">Q250+U250</f>
        <v>0</v>
      </c>
      <c r="Y250" s="699">
        <v>1.4E-3</v>
      </c>
      <c r="AA250" s="663">
        <f t="shared" si="59"/>
        <v>6.3</v>
      </c>
      <c r="AC250" s="673" t="s">
        <v>912</v>
      </c>
      <c r="AF250" s="705"/>
    </row>
    <row r="251" spans="1:32">
      <c r="A251" s="673">
        <v>216</v>
      </c>
      <c r="C251" s="729" t="s">
        <v>991</v>
      </c>
      <c r="D251" s="682"/>
      <c r="E251" s="681" t="s">
        <v>912</v>
      </c>
      <c r="F251" s="681"/>
      <c r="G251" s="681" t="s">
        <v>962</v>
      </c>
      <c r="H251" s="682"/>
      <c r="I251" s="730" t="s">
        <v>967</v>
      </c>
      <c r="J251" s="682"/>
      <c r="K251" s="731">
        <v>0</v>
      </c>
      <c r="M251" s="715">
        <v>299337</v>
      </c>
      <c r="O251" s="716">
        <v>10.0375</v>
      </c>
      <c r="Q251" s="717">
        <f t="shared" si="60"/>
        <v>0</v>
      </c>
      <c r="S251" s="718">
        <v>0</v>
      </c>
      <c r="U251" s="706">
        <f t="shared" si="61"/>
        <v>0</v>
      </c>
      <c r="W251" s="708">
        <f t="shared" si="62"/>
        <v>0</v>
      </c>
      <c r="Y251" s="699">
        <v>1.4E-3</v>
      </c>
      <c r="AA251" s="663">
        <f t="shared" si="59"/>
        <v>419.0718</v>
      </c>
      <c r="AC251" s="673" t="s">
        <v>912</v>
      </c>
    </row>
    <row r="252" spans="1:32">
      <c r="A252" s="673">
        <v>217</v>
      </c>
      <c r="C252" s="729" t="s">
        <v>991</v>
      </c>
      <c r="D252" s="682"/>
      <c r="E252" s="681" t="s">
        <v>912</v>
      </c>
      <c r="F252" s="681"/>
      <c r="G252" s="681" t="s">
        <v>962</v>
      </c>
      <c r="H252" s="682"/>
      <c r="I252" s="730" t="s">
        <v>968</v>
      </c>
      <c r="J252" s="682"/>
      <c r="K252" s="731">
        <v>0</v>
      </c>
      <c r="M252" s="715">
        <v>5003</v>
      </c>
      <c r="O252" s="732">
        <v>0</v>
      </c>
      <c r="Q252" s="717">
        <f t="shared" si="60"/>
        <v>0</v>
      </c>
      <c r="S252" s="718">
        <v>0</v>
      </c>
      <c r="U252" s="706">
        <f t="shared" si="61"/>
        <v>0</v>
      </c>
      <c r="W252" s="708">
        <f t="shared" si="62"/>
        <v>0</v>
      </c>
      <c r="Y252" s="699">
        <v>1.4E-3</v>
      </c>
      <c r="AA252" s="663">
        <f t="shared" si="59"/>
        <v>7.0042</v>
      </c>
      <c r="AC252" s="673" t="s">
        <v>912</v>
      </c>
    </row>
    <row r="253" spans="1:32">
      <c r="A253" s="673">
        <v>218</v>
      </c>
      <c r="C253" s="729" t="s">
        <v>972</v>
      </c>
      <c r="D253" s="682"/>
      <c r="E253" s="681" t="s">
        <v>912</v>
      </c>
      <c r="F253" s="681"/>
      <c r="G253" s="681" t="s">
        <v>970</v>
      </c>
      <c r="H253" s="682"/>
      <c r="I253" s="730" t="s">
        <v>973</v>
      </c>
      <c r="J253" s="682"/>
      <c r="K253" s="731">
        <v>150</v>
      </c>
      <c r="M253" s="715">
        <v>0</v>
      </c>
      <c r="O253" s="716">
        <v>10.0375</v>
      </c>
      <c r="Q253" s="717">
        <f t="shared" si="60"/>
        <v>1505.625</v>
      </c>
      <c r="S253" s="718">
        <v>0</v>
      </c>
      <c r="U253" s="706">
        <f t="shared" si="61"/>
        <v>0</v>
      </c>
      <c r="W253" s="708">
        <f t="shared" si="62"/>
        <v>1505.625</v>
      </c>
      <c r="Y253" s="699">
        <v>1.4E-3</v>
      </c>
      <c r="AA253" s="663">
        <f t="shared" si="59"/>
        <v>0</v>
      </c>
      <c r="AC253" s="673" t="s">
        <v>912</v>
      </c>
      <c r="AF253" s="708"/>
    </row>
    <row r="254" spans="1:32">
      <c r="A254" s="673">
        <v>219</v>
      </c>
      <c r="C254" s="729" t="s">
        <v>974</v>
      </c>
      <c r="D254" s="682"/>
      <c r="E254" s="681" t="s">
        <v>912</v>
      </c>
      <c r="F254" s="681"/>
      <c r="G254" s="681" t="s">
        <v>970</v>
      </c>
      <c r="H254" s="682"/>
      <c r="I254" s="730" t="s">
        <v>975</v>
      </c>
      <c r="J254" s="682"/>
      <c r="K254" s="731">
        <v>20000</v>
      </c>
      <c r="M254" s="715">
        <v>0</v>
      </c>
      <c r="O254" s="716">
        <v>10.0375</v>
      </c>
      <c r="Q254" s="717">
        <f t="shared" si="60"/>
        <v>200750</v>
      </c>
      <c r="S254" s="718">
        <v>0</v>
      </c>
      <c r="U254" s="706">
        <f t="shared" si="61"/>
        <v>0</v>
      </c>
      <c r="W254" s="708">
        <f t="shared" si="62"/>
        <v>200750</v>
      </c>
      <c r="Y254" s="699">
        <v>1.4E-3</v>
      </c>
      <c r="AA254" s="663">
        <f t="shared" si="59"/>
        <v>0</v>
      </c>
      <c r="AC254" s="673" t="s">
        <v>912</v>
      </c>
      <c r="AF254" s="705"/>
    </row>
    <row r="255" spans="1:32">
      <c r="A255" s="673">
        <v>220</v>
      </c>
      <c r="C255" s="729" t="s">
        <v>992</v>
      </c>
      <c r="D255" s="682"/>
      <c r="E255" s="681" t="s">
        <v>912</v>
      </c>
      <c r="F255" s="681"/>
      <c r="G255" s="681" t="s">
        <v>970</v>
      </c>
      <c r="H255" s="682"/>
      <c r="I255" s="730" t="s">
        <v>963</v>
      </c>
      <c r="J255" s="682"/>
      <c r="K255" s="733">
        <v>500</v>
      </c>
      <c r="M255" s="721">
        <v>5013</v>
      </c>
      <c r="O255" s="716">
        <v>10.0375</v>
      </c>
      <c r="Q255" s="722">
        <f t="shared" si="60"/>
        <v>5018.75</v>
      </c>
      <c r="S255" s="718">
        <v>0</v>
      </c>
      <c r="U255" s="734">
        <f t="shared" si="61"/>
        <v>0</v>
      </c>
      <c r="W255" s="723">
        <f t="shared" si="62"/>
        <v>5018.75</v>
      </c>
      <c r="Y255" s="699">
        <v>1.4E-3</v>
      </c>
      <c r="AA255" s="663">
        <f t="shared" si="59"/>
        <v>7.0182000000000002</v>
      </c>
      <c r="AC255" s="673" t="s">
        <v>912</v>
      </c>
    </row>
    <row r="256" spans="1:32">
      <c r="A256" s="673">
        <v>221</v>
      </c>
      <c r="C256" s="700" t="s">
        <v>976</v>
      </c>
      <c r="I256" s="714"/>
      <c r="K256" s="724">
        <f>SUM(K249:K255)</f>
        <v>20650</v>
      </c>
      <c r="M256" s="725">
        <f>SUM(M249:M255)</f>
        <v>320198</v>
      </c>
      <c r="O256" s="716"/>
      <c r="Q256" s="726">
        <f>SUM(Q249:Q255)</f>
        <v>207274.375</v>
      </c>
      <c r="S256" s="718"/>
      <c r="U256" s="735">
        <f>SUM(U249:U255)</f>
        <v>0</v>
      </c>
      <c r="W256" s="728">
        <f>SUM(W249:W255)</f>
        <v>207274.375</v>
      </c>
      <c r="AA256" s="703">
        <f>SUM(AA249:AA255)</f>
        <v>448.27719999999999</v>
      </c>
    </row>
    <row r="257" spans="1:32">
      <c r="C257" s="700" t="s">
        <v>877</v>
      </c>
      <c r="I257" s="714"/>
      <c r="K257" s="707"/>
      <c r="O257" s="716"/>
      <c r="Q257" s="717"/>
      <c r="S257" s="718"/>
      <c r="U257" s="706"/>
      <c r="W257" s="708"/>
    </row>
    <row r="258" spans="1:32">
      <c r="A258" s="673">
        <v>222</v>
      </c>
      <c r="C258" s="713" t="s">
        <v>932</v>
      </c>
      <c r="E258" s="673" t="s">
        <v>912</v>
      </c>
      <c r="G258" s="673" t="s">
        <v>977</v>
      </c>
      <c r="I258" s="714" t="s">
        <v>978</v>
      </c>
      <c r="K258" s="733">
        <v>0</v>
      </c>
      <c r="M258" s="736">
        <v>32044</v>
      </c>
      <c r="O258" s="737">
        <v>0</v>
      </c>
      <c r="Q258" s="738">
        <v>0</v>
      </c>
      <c r="S258" s="737">
        <v>0.33</v>
      </c>
      <c r="U258" s="723">
        <f>M258*S258</f>
        <v>10574.52</v>
      </c>
      <c r="W258" s="723">
        <f t="shared" si="58"/>
        <v>10574.52</v>
      </c>
      <c r="Y258" s="699">
        <v>1.4E-3</v>
      </c>
      <c r="AA258" s="663">
        <f>Y258*M258</f>
        <v>44.861600000000003</v>
      </c>
      <c r="AC258" s="673" t="s">
        <v>912</v>
      </c>
    </row>
    <row r="259" spans="1:32">
      <c r="A259" s="673">
        <v>223</v>
      </c>
      <c r="C259" s="683" t="s">
        <v>982</v>
      </c>
      <c r="I259" s="714"/>
      <c r="K259" s="739">
        <f>SUM(K258)</f>
        <v>0</v>
      </c>
      <c r="M259" s="740">
        <f>SUM(M258)</f>
        <v>32044</v>
      </c>
      <c r="O259" s="737"/>
      <c r="Q259" s="741">
        <f>SUM(Q258)</f>
        <v>0</v>
      </c>
      <c r="S259" s="737"/>
      <c r="U259" s="728">
        <f>SUM(U258)</f>
        <v>10574.52</v>
      </c>
      <c r="W259" s="728">
        <f>SUM(W258)</f>
        <v>10574.52</v>
      </c>
      <c r="AA259" s="703">
        <f>SUM(AA258)</f>
        <v>44.861600000000003</v>
      </c>
    </row>
    <row r="260" spans="1:32">
      <c r="C260" s="683"/>
      <c r="I260" s="714"/>
      <c r="K260" s="731"/>
      <c r="M260" s="719"/>
      <c r="O260" s="737"/>
      <c r="Q260" s="718"/>
      <c r="S260" s="737"/>
      <c r="U260" s="708"/>
      <c r="W260" s="708"/>
    </row>
    <row r="261" spans="1:32">
      <c r="C261" s="677" t="s">
        <v>993</v>
      </c>
      <c r="D261" s="677"/>
      <c r="E261" s="678"/>
      <c r="F261" s="678"/>
      <c r="G261" s="678"/>
      <c r="H261" s="677"/>
      <c r="I261" s="678"/>
      <c r="J261" s="677"/>
      <c r="K261" s="679"/>
      <c r="L261" s="677"/>
      <c r="M261" s="680"/>
      <c r="N261" s="677"/>
      <c r="O261" s="677"/>
      <c r="P261" s="677"/>
      <c r="Q261" s="677"/>
      <c r="R261" s="677"/>
      <c r="S261" s="677"/>
      <c r="T261" s="677"/>
      <c r="U261" s="677"/>
      <c r="V261" s="677"/>
      <c r="W261" s="677"/>
      <c r="X261" s="677"/>
      <c r="Y261" s="677"/>
      <c r="Z261" s="677"/>
      <c r="AA261" s="677"/>
      <c r="AB261" s="677"/>
      <c r="AC261" s="677"/>
    </row>
    <row r="262" spans="1:32">
      <c r="C262" s="683" t="s">
        <v>876</v>
      </c>
    </row>
    <row r="263" spans="1:32">
      <c r="A263" s="673">
        <v>224</v>
      </c>
      <c r="C263" s="713" t="s">
        <v>911</v>
      </c>
      <c r="E263" s="673" t="s">
        <v>912</v>
      </c>
      <c r="G263" s="673" t="s">
        <v>913</v>
      </c>
      <c r="I263" s="714" t="s">
        <v>914</v>
      </c>
      <c r="K263" s="707">
        <v>105750</v>
      </c>
      <c r="M263" s="715">
        <v>1924068</v>
      </c>
      <c r="O263" s="716">
        <v>10.0375</v>
      </c>
      <c r="Q263" s="717">
        <f>K263*O263</f>
        <v>1061465.625</v>
      </c>
      <c r="S263" s="718">
        <v>0</v>
      </c>
      <c r="U263" s="718">
        <f>M263*S263</f>
        <v>0</v>
      </c>
      <c r="W263" s="708">
        <f>Q263+U263</f>
        <v>1061465.625</v>
      </c>
      <c r="Y263" s="699">
        <v>1.4E-3</v>
      </c>
      <c r="AA263" s="663">
        <f t="shared" ref="AA263:AA282" si="63">Y263*M263</f>
        <v>2693.6952000000001</v>
      </c>
      <c r="AC263" s="673" t="s">
        <v>912</v>
      </c>
    </row>
    <row r="264" spans="1:32">
      <c r="A264" s="673">
        <v>225</v>
      </c>
      <c r="C264" s="713" t="s">
        <v>915</v>
      </c>
      <c r="E264" s="673" t="s">
        <v>912</v>
      </c>
      <c r="G264" s="673" t="s">
        <v>913</v>
      </c>
      <c r="I264" s="714" t="s">
        <v>916</v>
      </c>
      <c r="K264" s="707">
        <v>200</v>
      </c>
      <c r="M264" s="719">
        <v>405</v>
      </c>
      <c r="O264" s="716">
        <v>10.0375</v>
      </c>
      <c r="Q264" s="717">
        <f t="shared" ref="Q264:Q294" si="64">K264*O264</f>
        <v>2007.5</v>
      </c>
      <c r="S264" s="718">
        <v>0</v>
      </c>
      <c r="U264" s="718">
        <f t="shared" ref="U264:U291" si="65">M264*S264</f>
        <v>0</v>
      </c>
      <c r="W264" s="708">
        <f t="shared" ref="W264:W291" si="66">Q264+U264</f>
        <v>2007.5</v>
      </c>
      <c r="Y264" s="699">
        <v>1.4E-3</v>
      </c>
      <c r="AA264" s="663">
        <f t="shared" si="63"/>
        <v>0.56699999999999995</v>
      </c>
      <c r="AC264" s="673" t="s">
        <v>912</v>
      </c>
    </row>
    <row r="265" spans="1:32">
      <c r="A265" s="673">
        <v>226</v>
      </c>
      <c r="C265" s="713" t="s">
        <v>917</v>
      </c>
      <c r="E265" s="673" t="s">
        <v>912</v>
      </c>
      <c r="G265" s="673" t="s">
        <v>913</v>
      </c>
      <c r="I265" s="714" t="s">
        <v>918</v>
      </c>
      <c r="K265" s="707">
        <v>1200</v>
      </c>
      <c r="M265" s="719">
        <v>1500</v>
      </c>
      <c r="O265" s="716">
        <v>10.0375</v>
      </c>
      <c r="Q265" s="717">
        <f t="shared" si="64"/>
        <v>12045</v>
      </c>
      <c r="S265" s="718">
        <v>0</v>
      </c>
      <c r="U265" s="718">
        <f t="shared" si="65"/>
        <v>0</v>
      </c>
      <c r="W265" s="708">
        <f t="shared" si="66"/>
        <v>12045</v>
      </c>
      <c r="Y265" s="699">
        <v>1.4E-3</v>
      </c>
      <c r="AA265" s="663">
        <f t="shared" si="63"/>
        <v>2.1</v>
      </c>
      <c r="AC265" s="673" t="s">
        <v>912</v>
      </c>
    </row>
    <row r="266" spans="1:32">
      <c r="A266" s="673">
        <v>227</v>
      </c>
      <c r="C266" s="713" t="s">
        <v>919</v>
      </c>
      <c r="E266" s="673" t="s">
        <v>912</v>
      </c>
      <c r="G266" s="673" t="s">
        <v>913</v>
      </c>
      <c r="I266" s="714" t="s">
        <v>920</v>
      </c>
      <c r="K266" s="707">
        <v>1550</v>
      </c>
      <c r="O266" s="716">
        <v>10.0375</v>
      </c>
      <c r="Q266" s="717">
        <f t="shared" si="64"/>
        <v>15558.125</v>
      </c>
      <c r="S266" s="718">
        <v>0</v>
      </c>
      <c r="U266" s="718">
        <f t="shared" si="65"/>
        <v>0</v>
      </c>
      <c r="W266" s="708">
        <f t="shared" si="66"/>
        <v>15558.125</v>
      </c>
      <c r="Y266" s="699">
        <v>1.4E-3</v>
      </c>
      <c r="AA266" s="663">
        <f t="shared" si="63"/>
        <v>0</v>
      </c>
      <c r="AC266" s="673" t="s">
        <v>912</v>
      </c>
    </row>
    <row r="267" spans="1:32">
      <c r="A267" s="673">
        <v>228</v>
      </c>
      <c r="C267" s="713" t="s">
        <v>911</v>
      </c>
      <c r="E267" s="673" t="s">
        <v>912</v>
      </c>
      <c r="G267" s="673" t="s">
        <v>913</v>
      </c>
      <c r="I267" s="714" t="s">
        <v>921</v>
      </c>
      <c r="K267" s="707">
        <v>10000</v>
      </c>
      <c r="M267" s="715">
        <v>304923</v>
      </c>
      <c r="O267" s="716">
        <v>10.0375</v>
      </c>
      <c r="Q267" s="717">
        <f t="shared" si="64"/>
        <v>100375</v>
      </c>
      <c r="S267" s="718">
        <v>0</v>
      </c>
      <c r="U267" s="718">
        <f t="shared" si="65"/>
        <v>0</v>
      </c>
      <c r="W267" s="708">
        <f t="shared" si="66"/>
        <v>100375</v>
      </c>
      <c r="Y267" s="699">
        <v>1.4E-3</v>
      </c>
      <c r="AA267" s="663">
        <f t="shared" si="63"/>
        <v>426.8922</v>
      </c>
      <c r="AC267" s="673" t="s">
        <v>912</v>
      </c>
    </row>
    <row r="268" spans="1:32">
      <c r="A268" s="673">
        <v>229</v>
      </c>
      <c r="C268" s="713" t="s">
        <v>922</v>
      </c>
      <c r="E268" s="673" t="s">
        <v>912</v>
      </c>
      <c r="G268" s="673" t="s">
        <v>913</v>
      </c>
      <c r="I268" s="714" t="s">
        <v>923</v>
      </c>
      <c r="K268" s="707">
        <v>200</v>
      </c>
      <c r="O268" s="716">
        <v>10.0375</v>
      </c>
      <c r="Q268" s="717">
        <f t="shared" si="64"/>
        <v>2007.5</v>
      </c>
      <c r="S268" s="718">
        <v>0</v>
      </c>
      <c r="U268" s="718">
        <f t="shared" si="65"/>
        <v>0</v>
      </c>
      <c r="W268" s="708">
        <f t="shared" si="66"/>
        <v>2007.5</v>
      </c>
      <c r="Y268" s="699">
        <v>1.4E-3</v>
      </c>
      <c r="AA268" s="663">
        <f t="shared" si="63"/>
        <v>0</v>
      </c>
      <c r="AC268" s="673" t="s">
        <v>912</v>
      </c>
    </row>
    <row r="269" spans="1:32">
      <c r="A269" s="673">
        <v>230</v>
      </c>
      <c r="C269" s="713" t="s">
        <v>989</v>
      </c>
      <c r="E269" s="673" t="s">
        <v>912</v>
      </c>
      <c r="G269" s="673" t="s">
        <v>913</v>
      </c>
      <c r="I269" s="714" t="s">
        <v>925</v>
      </c>
      <c r="K269" s="707">
        <v>550</v>
      </c>
      <c r="M269" s="719">
        <v>9100</v>
      </c>
      <c r="O269" s="716">
        <v>10.0375</v>
      </c>
      <c r="Q269" s="717">
        <f t="shared" si="64"/>
        <v>5520.625</v>
      </c>
      <c r="S269" s="718">
        <v>0</v>
      </c>
      <c r="U269" s="718">
        <f t="shared" si="65"/>
        <v>0</v>
      </c>
      <c r="W269" s="708">
        <f t="shared" si="66"/>
        <v>5520.625</v>
      </c>
      <c r="Y269" s="699">
        <v>1.4E-3</v>
      </c>
      <c r="AA269" s="663">
        <f t="shared" si="63"/>
        <v>12.74</v>
      </c>
      <c r="AC269" s="673" t="s">
        <v>912</v>
      </c>
    </row>
    <row r="270" spans="1:32">
      <c r="A270" s="673">
        <v>231</v>
      </c>
      <c r="C270" s="713" t="s">
        <v>911</v>
      </c>
      <c r="E270" s="673" t="s">
        <v>912</v>
      </c>
      <c r="G270" s="673" t="s">
        <v>913</v>
      </c>
      <c r="I270" s="714" t="s">
        <v>926</v>
      </c>
      <c r="K270" s="707">
        <v>5661</v>
      </c>
      <c r="M270" s="715">
        <v>172606</v>
      </c>
      <c r="O270" s="716">
        <v>10.0375</v>
      </c>
      <c r="Q270" s="717">
        <f t="shared" si="64"/>
        <v>56822.287499999999</v>
      </c>
      <c r="S270" s="718">
        <v>0</v>
      </c>
      <c r="U270" s="718">
        <f t="shared" si="65"/>
        <v>0</v>
      </c>
      <c r="W270" s="708">
        <f t="shared" si="66"/>
        <v>56822.287499999999</v>
      </c>
      <c r="Y270" s="699">
        <v>1.4E-3</v>
      </c>
      <c r="AA270" s="663">
        <f t="shared" si="63"/>
        <v>241.64840000000001</v>
      </c>
      <c r="AC270" s="673" t="s">
        <v>912</v>
      </c>
    </row>
    <row r="271" spans="1:32">
      <c r="A271" s="673">
        <v>232</v>
      </c>
      <c r="C271" s="713" t="s">
        <v>911</v>
      </c>
      <c r="E271" s="673" t="s">
        <v>912</v>
      </c>
      <c r="G271" s="673" t="s">
        <v>913</v>
      </c>
      <c r="I271" s="714" t="s">
        <v>927</v>
      </c>
      <c r="K271" s="707">
        <v>5690</v>
      </c>
      <c r="M271" s="715">
        <v>173491</v>
      </c>
      <c r="O271" s="716">
        <v>10.0375</v>
      </c>
      <c r="Q271" s="717">
        <f t="shared" si="64"/>
        <v>57113.375</v>
      </c>
      <c r="S271" s="718">
        <v>0</v>
      </c>
      <c r="U271" s="718">
        <f t="shared" si="65"/>
        <v>0</v>
      </c>
      <c r="W271" s="708">
        <f t="shared" si="66"/>
        <v>57113.375</v>
      </c>
      <c r="Y271" s="699">
        <v>1.4E-3</v>
      </c>
      <c r="AA271" s="663">
        <f t="shared" si="63"/>
        <v>242.88739999999999</v>
      </c>
      <c r="AC271" s="673" t="s">
        <v>912</v>
      </c>
    </row>
    <row r="272" spans="1:32">
      <c r="A272" s="673">
        <v>233</v>
      </c>
      <c r="C272" s="713" t="s">
        <v>928</v>
      </c>
      <c r="E272" s="673" t="s">
        <v>912</v>
      </c>
      <c r="G272" s="673" t="s">
        <v>913</v>
      </c>
      <c r="I272" s="714" t="s">
        <v>929</v>
      </c>
      <c r="K272" s="707">
        <v>8000</v>
      </c>
      <c r="O272" s="716">
        <v>10.0375</v>
      </c>
      <c r="Q272" s="717">
        <f t="shared" si="64"/>
        <v>80300</v>
      </c>
      <c r="S272" s="718">
        <v>0</v>
      </c>
      <c r="U272" s="718">
        <f t="shared" si="65"/>
        <v>0</v>
      </c>
      <c r="W272" s="708">
        <f t="shared" si="66"/>
        <v>80300</v>
      </c>
      <c r="Y272" s="699">
        <v>1.4E-3</v>
      </c>
      <c r="AA272" s="663">
        <f t="shared" si="63"/>
        <v>0</v>
      </c>
      <c r="AC272" s="673" t="s">
        <v>912</v>
      </c>
      <c r="AF272" s="705"/>
    </row>
    <row r="273" spans="1:31">
      <c r="A273" s="673">
        <v>234</v>
      </c>
      <c r="C273" s="713" t="s">
        <v>928</v>
      </c>
      <c r="E273" s="673" t="s">
        <v>912</v>
      </c>
      <c r="G273" s="673" t="s">
        <v>913</v>
      </c>
      <c r="I273" s="714" t="s">
        <v>930</v>
      </c>
      <c r="K273" s="707">
        <v>16500</v>
      </c>
      <c r="O273" s="716">
        <v>10.0375</v>
      </c>
      <c r="Q273" s="717">
        <f t="shared" si="64"/>
        <v>165618.75</v>
      </c>
      <c r="S273" s="718">
        <v>0</v>
      </c>
      <c r="U273" s="718">
        <f t="shared" si="65"/>
        <v>0</v>
      </c>
      <c r="W273" s="708">
        <f t="shared" si="66"/>
        <v>165618.75</v>
      </c>
      <c r="Y273" s="699">
        <v>1.4E-3</v>
      </c>
      <c r="AA273" s="663">
        <f t="shared" si="63"/>
        <v>0</v>
      </c>
      <c r="AC273" s="673" t="s">
        <v>912</v>
      </c>
    </row>
    <row r="274" spans="1:31">
      <c r="A274" s="673">
        <v>235</v>
      </c>
      <c r="C274" s="713" t="s">
        <v>911</v>
      </c>
      <c r="E274" s="673" t="s">
        <v>912</v>
      </c>
      <c r="G274" s="673" t="s">
        <v>913</v>
      </c>
      <c r="I274" s="714" t="s">
        <v>931</v>
      </c>
      <c r="K274" s="707">
        <v>5722</v>
      </c>
      <c r="M274" s="715">
        <v>174468</v>
      </c>
      <c r="O274" s="716">
        <v>10.0375</v>
      </c>
      <c r="Q274" s="717">
        <f t="shared" si="64"/>
        <v>57434.574999999997</v>
      </c>
      <c r="S274" s="718">
        <v>0</v>
      </c>
      <c r="U274" s="718">
        <f t="shared" si="65"/>
        <v>0</v>
      </c>
      <c r="W274" s="708">
        <f t="shared" si="66"/>
        <v>57434.574999999997</v>
      </c>
      <c r="Y274" s="699">
        <v>1.4E-3</v>
      </c>
      <c r="AA274" s="663">
        <f t="shared" si="63"/>
        <v>244.2552</v>
      </c>
      <c r="AC274" s="673" t="s">
        <v>912</v>
      </c>
    </row>
    <row r="275" spans="1:31">
      <c r="A275" s="673">
        <v>236</v>
      </c>
      <c r="C275" s="713" t="s">
        <v>932</v>
      </c>
      <c r="E275" s="673" t="s">
        <v>912</v>
      </c>
      <c r="G275" s="673" t="s">
        <v>913</v>
      </c>
      <c r="I275" s="714" t="s">
        <v>933</v>
      </c>
      <c r="K275" s="707">
        <v>760</v>
      </c>
      <c r="M275" s="719">
        <v>23526</v>
      </c>
      <c r="O275" s="716">
        <v>10.0375</v>
      </c>
      <c r="Q275" s="717">
        <f t="shared" si="64"/>
        <v>7628.5</v>
      </c>
      <c r="S275" s="718">
        <v>0</v>
      </c>
      <c r="U275" s="718">
        <f t="shared" si="65"/>
        <v>0</v>
      </c>
      <c r="W275" s="708">
        <f t="shared" si="66"/>
        <v>7628.5</v>
      </c>
      <c r="Y275" s="699">
        <v>1.4E-3</v>
      </c>
      <c r="AA275" s="663">
        <f t="shared" si="63"/>
        <v>32.936399999999999</v>
      </c>
      <c r="AC275" s="673" t="s">
        <v>912</v>
      </c>
    </row>
    <row r="276" spans="1:31">
      <c r="A276" s="673">
        <v>237</v>
      </c>
      <c r="C276" s="713" t="s">
        <v>922</v>
      </c>
      <c r="E276" s="673" t="s">
        <v>912</v>
      </c>
      <c r="G276" s="673" t="s">
        <v>913</v>
      </c>
      <c r="I276" s="714" t="s">
        <v>934</v>
      </c>
      <c r="K276" s="707">
        <v>150</v>
      </c>
      <c r="O276" s="716">
        <v>10.0375</v>
      </c>
      <c r="Q276" s="717">
        <f t="shared" si="64"/>
        <v>1505.625</v>
      </c>
      <c r="S276" s="718">
        <v>0</v>
      </c>
      <c r="U276" s="718">
        <f t="shared" si="65"/>
        <v>0</v>
      </c>
      <c r="W276" s="708">
        <f t="shared" si="66"/>
        <v>1505.625</v>
      </c>
      <c r="Y276" s="699">
        <v>1.4E-3</v>
      </c>
      <c r="AA276" s="663">
        <f t="shared" si="63"/>
        <v>0</v>
      </c>
      <c r="AC276" s="673" t="s">
        <v>912</v>
      </c>
    </row>
    <row r="277" spans="1:31">
      <c r="A277" s="673">
        <v>238</v>
      </c>
      <c r="C277" s="713" t="s">
        <v>922</v>
      </c>
      <c r="E277" s="673" t="s">
        <v>912</v>
      </c>
      <c r="G277" s="673" t="s">
        <v>913</v>
      </c>
      <c r="I277" s="714" t="s">
        <v>935</v>
      </c>
      <c r="K277" s="707">
        <v>250</v>
      </c>
      <c r="O277" s="716">
        <v>10.0375</v>
      </c>
      <c r="Q277" s="717">
        <f t="shared" si="64"/>
        <v>2509.375</v>
      </c>
      <c r="S277" s="718">
        <v>0</v>
      </c>
      <c r="U277" s="718">
        <f t="shared" si="65"/>
        <v>0</v>
      </c>
      <c r="W277" s="708">
        <f t="shared" si="66"/>
        <v>2509.375</v>
      </c>
      <c r="Y277" s="699">
        <v>1.4E-3</v>
      </c>
      <c r="AA277" s="663">
        <f t="shared" si="63"/>
        <v>0</v>
      </c>
      <c r="AC277" s="673" t="s">
        <v>912</v>
      </c>
    </row>
    <row r="278" spans="1:31">
      <c r="A278" s="673">
        <v>239</v>
      </c>
      <c r="C278" s="713" t="s">
        <v>922</v>
      </c>
      <c r="E278" s="673" t="s">
        <v>912</v>
      </c>
      <c r="G278" s="673" t="s">
        <v>913</v>
      </c>
      <c r="I278" s="714" t="s">
        <v>936</v>
      </c>
      <c r="K278" s="707">
        <v>400</v>
      </c>
      <c r="M278" s="719">
        <v>4050</v>
      </c>
      <c r="O278" s="716">
        <v>10.0375</v>
      </c>
      <c r="Q278" s="717">
        <f t="shared" si="64"/>
        <v>4015</v>
      </c>
      <c r="S278" s="718">
        <v>0</v>
      </c>
      <c r="U278" s="718">
        <f t="shared" si="65"/>
        <v>0</v>
      </c>
      <c r="W278" s="708">
        <f t="shared" si="66"/>
        <v>4015</v>
      </c>
      <c r="Y278" s="699">
        <v>1.4E-3</v>
      </c>
      <c r="AA278" s="663">
        <f t="shared" si="63"/>
        <v>5.67</v>
      </c>
      <c r="AC278" s="673" t="s">
        <v>912</v>
      </c>
    </row>
    <row r="279" spans="1:31">
      <c r="A279" s="673">
        <v>240</v>
      </c>
      <c r="C279" s="713" t="s">
        <v>911</v>
      </c>
      <c r="E279" s="673" t="s">
        <v>912</v>
      </c>
      <c r="G279" s="673" t="s">
        <v>913</v>
      </c>
      <c r="I279" s="714" t="s">
        <v>937</v>
      </c>
      <c r="K279" s="707">
        <v>40000</v>
      </c>
      <c r="M279" s="719">
        <v>154845</v>
      </c>
      <c r="O279" s="716">
        <v>10.0375</v>
      </c>
      <c r="Q279" s="717">
        <f t="shared" si="64"/>
        <v>401500</v>
      </c>
      <c r="S279" s="718">
        <v>0</v>
      </c>
      <c r="U279" s="718">
        <f t="shared" si="65"/>
        <v>0</v>
      </c>
      <c r="W279" s="708">
        <f t="shared" si="66"/>
        <v>401500</v>
      </c>
      <c r="Y279" s="699">
        <v>1.4E-3</v>
      </c>
      <c r="AA279" s="663">
        <f t="shared" si="63"/>
        <v>216.78299999999999</v>
      </c>
      <c r="AC279" s="673" t="s">
        <v>912</v>
      </c>
    </row>
    <row r="280" spans="1:31">
      <c r="A280" s="673">
        <v>241</v>
      </c>
      <c r="C280" s="713" t="s">
        <v>990</v>
      </c>
      <c r="E280" s="673" t="s">
        <v>912</v>
      </c>
      <c r="G280" s="673" t="s">
        <v>913</v>
      </c>
      <c r="I280" s="714" t="s">
        <v>939</v>
      </c>
      <c r="K280" s="707">
        <v>800</v>
      </c>
      <c r="M280" s="719">
        <v>22503</v>
      </c>
      <c r="O280" s="716">
        <v>10.0375</v>
      </c>
      <c r="Q280" s="717">
        <f t="shared" si="64"/>
        <v>8030</v>
      </c>
      <c r="S280" s="718">
        <v>0</v>
      </c>
      <c r="U280" s="718">
        <f t="shared" si="65"/>
        <v>0</v>
      </c>
      <c r="W280" s="708">
        <f t="shared" si="66"/>
        <v>8030</v>
      </c>
      <c r="Y280" s="699">
        <v>1.4E-3</v>
      </c>
      <c r="AA280" s="663">
        <f t="shared" si="63"/>
        <v>31.504200000000001</v>
      </c>
      <c r="AC280" s="673" t="s">
        <v>912</v>
      </c>
    </row>
    <row r="281" spans="1:31">
      <c r="A281" s="673">
        <v>242</v>
      </c>
      <c r="C281" s="713" t="s">
        <v>990</v>
      </c>
      <c r="E281" s="673" t="s">
        <v>912</v>
      </c>
      <c r="G281" s="673" t="s">
        <v>913</v>
      </c>
      <c r="I281" s="714" t="s">
        <v>940</v>
      </c>
      <c r="K281" s="707">
        <v>200</v>
      </c>
      <c r="M281" s="719">
        <v>1956</v>
      </c>
      <c r="O281" s="716">
        <v>10.0375</v>
      </c>
      <c r="Q281" s="717">
        <f t="shared" si="64"/>
        <v>2007.5</v>
      </c>
      <c r="S281" s="718">
        <v>0</v>
      </c>
      <c r="U281" s="718">
        <f t="shared" si="65"/>
        <v>0</v>
      </c>
      <c r="W281" s="708">
        <f t="shared" si="66"/>
        <v>2007.5</v>
      </c>
      <c r="Y281" s="699">
        <v>1.4E-3</v>
      </c>
      <c r="AA281" s="663">
        <f t="shared" si="63"/>
        <v>2.7383999999999999</v>
      </c>
      <c r="AC281" s="673" t="s">
        <v>912</v>
      </c>
      <c r="AE281" s="705"/>
    </row>
    <row r="282" spans="1:31">
      <c r="A282" s="673">
        <v>243</v>
      </c>
      <c r="C282" s="713" t="s">
        <v>990</v>
      </c>
      <c r="E282" s="673" t="s">
        <v>912</v>
      </c>
      <c r="G282" s="673" t="s">
        <v>913</v>
      </c>
      <c r="I282" s="714" t="s">
        <v>941</v>
      </c>
      <c r="K282" s="707">
        <v>400</v>
      </c>
      <c r="M282" s="719">
        <v>3912</v>
      </c>
      <c r="O282" s="716">
        <v>10.0375</v>
      </c>
      <c r="Q282" s="717">
        <f t="shared" si="64"/>
        <v>4015</v>
      </c>
      <c r="S282" s="718">
        <v>0</v>
      </c>
      <c r="U282" s="718">
        <f t="shared" si="65"/>
        <v>0</v>
      </c>
      <c r="W282" s="708">
        <f t="shared" si="66"/>
        <v>4015</v>
      </c>
      <c r="Y282" s="699">
        <v>1.4E-3</v>
      </c>
      <c r="AA282" s="663">
        <f t="shared" si="63"/>
        <v>5.4767999999999999</v>
      </c>
      <c r="AC282" s="673" t="s">
        <v>912</v>
      </c>
    </row>
    <row r="283" spans="1:31">
      <c r="A283" s="673">
        <v>244</v>
      </c>
      <c r="C283" s="700" t="s">
        <v>960</v>
      </c>
      <c r="I283" s="714"/>
      <c r="K283" s="701">
        <f>SUM(K263:K282)</f>
        <v>203983</v>
      </c>
      <c r="M283" s="702">
        <f>SUM(M263:M282)</f>
        <v>2971353</v>
      </c>
      <c r="Q283" s="742">
        <f>SUM(Q263:Q282)</f>
        <v>2047479.3625</v>
      </c>
      <c r="S283" s="718"/>
      <c r="U283" s="742">
        <f t="shared" si="65"/>
        <v>0</v>
      </c>
      <c r="W283" s="742">
        <f>SUM(W263:W282)</f>
        <v>2047479.3625</v>
      </c>
      <c r="AA283" s="703">
        <f>SUM(AA263:AA282)</f>
        <v>4159.8942000000006</v>
      </c>
    </row>
    <row r="284" spans="1:31">
      <c r="C284" s="700" t="s">
        <v>961</v>
      </c>
      <c r="I284" s="714"/>
      <c r="Q284" s="717"/>
    </row>
    <row r="285" spans="1:31">
      <c r="A285" s="673">
        <v>245</v>
      </c>
      <c r="C285" s="729" t="s">
        <v>958</v>
      </c>
      <c r="D285" s="682"/>
      <c r="E285" s="681" t="s">
        <v>912</v>
      </c>
      <c r="F285" s="681"/>
      <c r="G285" s="681" t="s">
        <v>962</v>
      </c>
      <c r="H285" s="682"/>
      <c r="I285" s="730" t="s">
        <v>964</v>
      </c>
      <c r="J285" s="682"/>
      <c r="K285" s="731">
        <v>0</v>
      </c>
      <c r="M285" s="719">
        <v>6484</v>
      </c>
      <c r="O285" s="716">
        <v>10.0375</v>
      </c>
      <c r="Q285" s="717">
        <f t="shared" si="64"/>
        <v>0</v>
      </c>
      <c r="S285" s="718">
        <v>0</v>
      </c>
      <c r="U285" s="718">
        <f t="shared" si="65"/>
        <v>0</v>
      </c>
      <c r="W285" s="708">
        <f t="shared" si="66"/>
        <v>0</v>
      </c>
      <c r="Y285" s="699">
        <v>1.4E-3</v>
      </c>
      <c r="AA285" s="663">
        <f t="shared" ref="AA285:AA291" si="67">Y285*M285</f>
        <v>9.0776000000000003</v>
      </c>
      <c r="AC285" s="673" t="s">
        <v>912</v>
      </c>
    </row>
    <row r="286" spans="1:31">
      <c r="A286" s="673">
        <v>246</v>
      </c>
      <c r="C286" s="729" t="s">
        <v>932</v>
      </c>
      <c r="D286" s="682"/>
      <c r="E286" s="681" t="s">
        <v>912</v>
      </c>
      <c r="F286" s="681"/>
      <c r="G286" s="681" t="s">
        <v>962</v>
      </c>
      <c r="H286" s="682"/>
      <c r="I286" s="730" t="s">
        <v>965</v>
      </c>
      <c r="J286" s="682"/>
      <c r="K286" s="731">
        <v>0</v>
      </c>
      <c r="M286" s="715">
        <v>4650</v>
      </c>
      <c r="O286" s="716">
        <v>10.0375</v>
      </c>
      <c r="Q286" s="717">
        <f t="shared" si="64"/>
        <v>0</v>
      </c>
      <c r="S286" s="718">
        <v>0</v>
      </c>
      <c r="U286" s="718">
        <f t="shared" si="65"/>
        <v>0</v>
      </c>
      <c r="W286" s="708">
        <f t="shared" si="66"/>
        <v>0</v>
      </c>
      <c r="Y286" s="699">
        <v>1.4E-3</v>
      </c>
      <c r="AA286" s="663">
        <f t="shared" si="67"/>
        <v>6.51</v>
      </c>
      <c r="AC286" s="673" t="s">
        <v>912</v>
      </c>
    </row>
    <row r="287" spans="1:31">
      <c r="A287" s="673">
        <v>247</v>
      </c>
      <c r="C287" s="729" t="s">
        <v>991</v>
      </c>
      <c r="D287" s="682"/>
      <c r="E287" s="681" t="s">
        <v>912</v>
      </c>
      <c r="F287" s="681"/>
      <c r="G287" s="681" t="s">
        <v>962</v>
      </c>
      <c r="H287" s="682"/>
      <c r="I287" s="730" t="s">
        <v>967</v>
      </c>
      <c r="J287" s="682"/>
      <c r="K287" s="731">
        <v>0</v>
      </c>
      <c r="M287" s="715">
        <v>298344</v>
      </c>
      <c r="O287" s="716">
        <v>10.0375</v>
      </c>
      <c r="Q287" s="717">
        <f t="shared" si="64"/>
        <v>0</v>
      </c>
      <c r="S287" s="718">
        <v>0</v>
      </c>
      <c r="U287" s="718">
        <f t="shared" si="65"/>
        <v>0</v>
      </c>
      <c r="W287" s="708">
        <f t="shared" si="66"/>
        <v>0</v>
      </c>
      <c r="Y287" s="699">
        <v>1.4E-3</v>
      </c>
      <c r="AA287" s="663">
        <f t="shared" si="67"/>
        <v>417.6816</v>
      </c>
      <c r="AC287" s="673" t="s">
        <v>912</v>
      </c>
      <c r="AE287" s="708"/>
    </row>
    <row r="288" spans="1:31">
      <c r="A288" s="673">
        <v>248</v>
      </c>
      <c r="C288" s="729" t="s">
        <v>991</v>
      </c>
      <c r="D288" s="682"/>
      <c r="E288" s="681" t="s">
        <v>912</v>
      </c>
      <c r="F288" s="681"/>
      <c r="G288" s="681" t="s">
        <v>962</v>
      </c>
      <c r="H288" s="682"/>
      <c r="I288" s="730" t="s">
        <v>968</v>
      </c>
      <c r="J288" s="682"/>
      <c r="K288" s="731">
        <v>0</v>
      </c>
      <c r="M288" s="719">
        <v>5253</v>
      </c>
      <c r="O288" s="732">
        <v>0</v>
      </c>
      <c r="Q288" s="717">
        <f t="shared" si="64"/>
        <v>0</v>
      </c>
      <c r="S288" s="718">
        <v>0</v>
      </c>
      <c r="U288" s="718">
        <f t="shared" si="65"/>
        <v>0</v>
      </c>
      <c r="W288" s="708">
        <f t="shared" si="66"/>
        <v>0</v>
      </c>
      <c r="Y288" s="699">
        <v>1.4E-3</v>
      </c>
      <c r="AA288" s="663">
        <f t="shared" si="67"/>
        <v>7.3541999999999996</v>
      </c>
      <c r="AC288" s="673" t="s">
        <v>912</v>
      </c>
    </row>
    <row r="289" spans="1:29">
      <c r="A289" s="673">
        <v>249</v>
      </c>
      <c r="C289" s="729" t="s">
        <v>972</v>
      </c>
      <c r="D289" s="682"/>
      <c r="E289" s="681" t="s">
        <v>912</v>
      </c>
      <c r="F289" s="681"/>
      <c r="G289" s="681" t="s">
        <v>970</v>
      </c>
      <c r="H289" s="682"/>
      <c r="I289" s="730" t="s">
        <v>973</v>
      </c>
      <c r="J289" s="682"/>
      <c r="K289" s="731">
        <v>150</v>
      </c>
      <c r="M289" s="715">
        <v>0</v>
      </c>
      <c r="O289" s="716">
        <v>10.0375</v>
      </c>
      <c r="Q289" s="717">
        <f>K289*O289</f>
        <v>1505.625</v>
      </c>
      <c r="S289" s="718">
        <v>0</v>
      </c>
      <c r="U289" s="718">
        <f t="shared" si="65"/>
        <v>0</v>
      </c>
      <c r="W289" s="708">
        <f t="shared" si="66"/>
        <v>1505.625</v>
      </c>
      <c r="Y289" s="699">
        <v>1.4E-3</v>
      </c>
      <c r="AA289" s="663">
        <f t="shared" si="67"/>
        <v>0</v>
      </c>
      <c r="AC289" s="673" t="s">
        <v>912</v>
      </c>
    </row>
    <row r="290" spans="1:29">
      <c r="A290" s="673">
        <v>250</v>
      </c>
      <c r="C290" s="729" t="s">
        <v>974</v>
      </c>
      <c r="D290" s="682"/>
      <c r="E290" s="681" t="s">
        <v>912</v>
      </c>
      <c r="F290" s="681"/>
      <c r="G290" s="681" t="s">
        <v>970</v>
      </c>
      <c r="H290" s="682"/>
      <c r="I290" s="730" t="s">
        <v>975</v>
      </c>
      <c r="J290" s="682"/>
      <c r="K290" s="731">
        <v>20000</v>
      </c>
      <c r="M290" s="715">
        <v>0</v>
      </c>
      <c r="O290" s="716">
        <v>10.0375</v>
      </c>
      <c r="Q290" s="717">
        <f>K290*O290</f>
        <v>200750</v>
      </c>
      <c r="S290" s="718">
        <v>0</v>
      </c>
      <c r="U290" s="718">
        <f t="shared" si="65"/>
        <v>0</v>
      </c>
      <c r="W290" s="708">
        <f t="shared" si="66"/>
        <v>200750</v>
      </c>
      <c r="Y290" s="699">
        <v>1.4E-3</v>
      </c>
      <c r="AA290" s="663">
        <f t="shared" si="67"/>
        <v>0</v>
      </c>
      <c r="AC290" s="673" t="s">
        <v>912</v>
      </c>
    </row>
    <row r="291" spans="1:29">
      <c r="A291" s="673">
        <v>251</v>
      </c>
      <c r="C291" s="729" t="s">
        <v>992</v>
      </c>
      <c r="D291" s="682"/>
      <c r="E291" s="681" t="s">
        <v>912</v>
      </c>
      <c r="F291" s="681"/>
      <c r="G291" s="681" t="s">
        <v>970</v>
      </c>
      <c r="H291" s="682"/>
      <c r="I291" s="730" t="s">
        <v>963</v>
      </c>
      <c r="J291" s="682"/>
      <c r="K291" s="733">
        <v>500</v>
      </c>
      <c r="M291" s="719">
        <v>5138</v>
      </c>
      <c r="O291" s="716">
        <v>10.0375</v>
      </c>
      <c r="Q291" s="717">
        <f>K291*O291</f>
        <v>5018.75</v>
      </c>
      <c r="S291" s="718">
        <v>0</v>
      </c>
      <c r="U291" s="718">
        <f t="shared" si="65"/>
        <v>0</v>
      </c>
      <c r="W291" s="708">
        <f t="shared" si="66"/>
        <v>5018.75</v>
      </c>
      <c r="Y291" s="699">
        <v>1.4E-3</v>
      </c>
      <c r="AA291" s="663">
        <f t="shared" si="67"/>
        <v>7.1932</v>
      </c>
      <c r="AC291" s="673" t="s">
        <v>912</v>
      </c>
    </row>
    <row r="292" spans="1:29">
      <c r="A292" s="673">
        <v>252</v>
      </c>
      <c r="C292" s="683" t="s">
        <v>976</v>
      </c>
      <c r="D292" s="682"/>
      <c r="E292" s="681"/>
      <c r="F292" s="681"/>
      <c r="G292" s="681"/>
      <c r="H292" s="682"/>
      <c r="I292" s="730"/>
      <c r="J292" s="682"/>
      <c r="K292" s="743">
        <f>SUM(K285:K291)</f>
        <v>20650</v>
      </c>
      <c r="M292" s="702">
        <f>SUM(M285:M291)</f>
        <v>319869</v>
      </c>
      <c r="Q292" s="742">
        <f>SUM(Q285:Q291)</f>
        <v>207274.375</v>
      </c>
      <c r="U292" s="742">
        <f>SUM(U285:U291)</f>
        <v>0</v>
      </c>
      <c r="W292" s="742">
        <f>SUM(W285:W291)</f>
        <v>207274.375</v>
      </c>
      <c r="AA292" s="703">
        <f>SUM(AA285:AA291)</f>
        <v>447.81659999999999</v>
      </c>
    </row>
    <row r="293" spans="1:29">
      <c r="C293" s="683" t="s">
        <v>877</v>
      </c>
      <c r="D293" s="682"/>
      <c r="E293" s="681"/>
      <c r="F293" s="681"/>
      <c r="G293" s="681"/>
      <c r="H293" s="682"/>
      <c r="I293" s="730"/>
      <c r="J293" s="682"/>
      <c r="K293" s="744"/>
      <c r="Q293" s="717"/>
    </row>
    <row r="294" spans="1:29">
      <c r="A294" s="673">
        <v>253</v>
      </c>
      <c r="C294" s="729" t="s">
        <v>932</v>
      </c>
      <c r="D294" s="682"/>
      <c r="E294" s="681" t="s">
        <v>912</v>
      </c>
      <c r="F294" s="681"/>
      <c r="G294" s="681" t="s">
        <v>977</v>
      </c>
      <c r="H294" s="682"/>
      <c r="I294" s="730" t="s">
        <v>978</v>
      </c>
      <c r="J294" s="682"/>
      <c r="K294" s="744">
        <v>0</v>
      </c>
      <c r="M294" s="719">
        <v>27932</v>
      </c>
      <c r="O294" s="718">
        <v>0</v>
      </c>
      <c r="Q294" s="717">
        <f t="shared" si="64"/>
        <v>0</v>
      </c>
      <c r="S294" s="737">
        <v>0.33</v>
      </c>
      <c r="U294" s="717">
        <f>S294*M294</f>
        <v>9217.5600000000013</v>
      </c>
      <c r="W294" s="708">
        <f>U294+Q294</f>
        <v>9217.5600000000013</v>
      </c>
      <c r="Y294" s="699">
        <v>1.4E-3</v>
      </c>
      <c r="AA294" s="663">
        <f>Y294*M294</f>
        <v>39.104799999999997</v>
      </c>
      <c r="AC294" s="673" t="s">
        <v>912</v>
      </c>
    </row>
    <row r="295" spans="1:29">
      <c r="A295" s="673">
        <v>254</v>
      </c>
      <c r="C295" s="683" t="s">
        <v>982</v>
      </c>
      <c r="D295" s="682"/>
      <c r="E295" s="681"/>
      <c r="F295" s="681"/>
      <c r="G295" s="681"/>
      <c r="H295" s="682"/>
      <c r="I295" s="681"/>
      <c r="J295" s="682"/>
      <c r="K295" s="743">
        <f>SUM(K294)</f>
        <v>0</v>
      </c>
      <c r="M295" s="702">
        <f>SUM(M294)</f>
        <v>27932</v>
      </c>
      <c r="Q295" s="742">
        <f>SUM(Q294)</f>
        <v>0</v>
      </c>
      <c r="U295" s="702">
        <f>SUM(U294)</f>
        <v>9217.5600000000013</v>
      </c>
      <c r="W295" s="742">
        <f>SUM(W294)</f>
        <v>9217.5600000000013</v>
      </c>
      <c r="AA295" s="703">
        <f>SUM(AA294)</f>
        <v>39.104799999999997</v>
      </c>
    </row>
    <row r="297" spans="1:29">
      <c r="C297" s="677" t="s">
        <v>994</v>
      </c>
      <c r="D297" s="677"/>
      <c r="E297" s="678"/>
      <c r="F297" s="678"/>
      <c r="G297" s="678"/>
      <c r="H297" s="677"/>
      <c r="I297" s="678"/>
      <c r="J297" s="677"/>
      <c r="K297" s="679"/>
      <c r="L297" s="677"/>
      <c r="M297" s="680"/>
      <c r="N297" s="677"/>
      <c r="O297" s="677"/>
      <c r="P297" s="677"/>
      <c r="Q297" s="677"/>
      <c r="R297" s="677"/>
      <c r="S297" s="677"/>
      <c r="T297" s="677"/>
      <c r="U297" s="677"/>
      <c r="V297" s="677"/>
      <c r="W297" s="677"/>
      <c r="X297" s="677"/>
      <c r="Y297" s="677"/>
      <c r="Z297" s="677"/>
      <c r="AA297" s="677"/>
      <c r="AB297" s="677"/>
      <c r="AC297" s="677"/>
    </row>
    <row r="298" spans="1:29">
      <c r="C298" s="683" t="s">
        <v>876</v>
      </c>
    </row>
    <row r="299" spans="1:29">
      <c r="A299" s="673">
        <v>255</v>
      </c>
      <c r="C299" s="713" t="s">
        <v>911</v>
      </c>
      <c r="E299" s="673" t="s">
        <v>912</v>
      </c>
      <c r="G299" s="673" t="s">
        <v>913</v>
      </c>
      <c r="I299" s="714" t="s">
        <v>914</v>
      </c>
      <c r="K299" s="707">
        <v>105750</v>
      </c>
      <c r="M299" s="715">
        <v>1993271</v>
      </c>
      <c r="O299" s="716">
        <v>10.0375</v>
      </c>
      <c r="Q299" s="717">
        <f>K299*O299</f>
        <v>1061465.625</v>
      </c>
      <c r="S299" s="718">
        <v>0</v>
      </c>
      <c r="U299" s="718">
        <f t="shared" ref="U299:U318" si="68">M299*S299</f>
        <v>0</v>
      </c>
      <c r="W299" s="708">
        <f t="shared" ref="W299:W318" si="69">Q299+U299</f>
        <v>1061465.625</v>
      </c>
      <c r="Y299" s="699">
        <v>1.4E-3</v>
      </c>
      <c r="AA299" s="663">
        <f t="shared" ref="AA299:AA318" si="70">Y299*M299</f>
        <v>2790.5794000000001</v>
      </c>
      <c r="AC299" s="673" t="s">
        <v>912</v>
      </c>
    </row>
    <row r="300" spans="1:29">
      <c r="A300" s="673">
        <v>256</v>
      </c>
      <c r="C300" s="713" t="s">
        <v>915</v>
      </c>
      <c r="E300" s="673" t="s">
        <v>912</v>
      </c>
      <c r="G300" s="673" t="s">
        <v>913</v>
      </c>
      <c r="I300" s="714" t="s">
        <v>916</v>
      </c>
      <c r="K300" s="707">
        <v>200</v>
      </c>
      <c r="M300" s="719">
        <v>155</v>
      </c>
      <c r="O300" s="716">
        <v>10.0375</v>
      </c>
      <c r="Q300" s="717">
        <f t="shared" ref="Q300:Q318" si="71">K300*O300</f>
        <v>2007.5</v>
      </c>
      <c r="S300" s="718">
        <v>0</v>
      </c>
      <c r="U300" s="718">
        <f t="shared" si="68"/>
        <v>0</v>
      </c>
      <c r="W300" s="708">
        <f t="shared" si="69"/>
        <v>2007.5</v>
      </c>
      <c r="Y300" s="699">
        <v>1.4E-3</v>
      </c>
      <c r="AA300" s="663">
        <f t="shared" si="70"/>
        <v>0.217</v>
      </c>
      <c r="AC300" s="673" t="s">
        <v>912</v>
      </c>
    </row>
    <row r="301" spans="1:29">
      <c r="A301" s="673">
        <v>257</v>
      </c>
      <c r="C301" s="713" t="s">
        <v>917</v>
      </c>
      <c r="E301" s="673" t="s">
        <v>912</v>
      </c>
      <c r="G301" s="673" t="s">
        <v>913</v>
      </c>
      <c r="I301" s="714" t="s">
        <v>918</v>
      </c>
      <c r="K301" s="707">
        <v>1200</v>
      </c>
      <c r="M301" s="719">
        <v>1447</v>
      </c>
      <c r="O301" s="716">
        <v>10.0375</v>
      </c>
      <c r="Q301" s="717">
        <f t="shared" si="71"/>
        <v>12045</v>
      </c>
      <c r="S301" s="718">
        <v>0</v>
      </c>
      <c r="U301" s="718">
        <f t="shared" si="68"/>
        <v>0</v>
      </c>
      <c r="W301" s="708">
        <f t="shared" si="69"/>
        <v>12045</v>
      </c>
      <c r="Y301" s="699">
        <v>1.4E-3</v>
      </c>
      <c r="AA301" s="663">
        <f t="shared" si="70"/>
        <v>2.0257999999999998</v>
      </c>
      <c r="AC301" s="673" t="s">
        <v>912</v>
      </c>
    </row>
    <row r="302" spans="1:29">
      <c r="A302" s="673">
        <v>258</v>
      </c>
      <c r="C302" s="713" t="s">
        <v>919</v>
      </c>
      <c r="E302" s="673" t="s">
        <v>912</v>
      </c>
      <c r="G302" s="673" t="s">
        <v>913</v>
      </c>
      <c r="I302" s="714" t="s">
        <v>920</v>
      </c>
      <c r="K302" s="707">
        <v>1550</v>
      </c>
      <c r="M302" s="715">
        <v>0</v>
      </c>
      <c r="O302" s="716">
        <v>10.0375</v>
      </c>
      <c r="Q302" s="717">
        <f t="shared" si="71"/>
        <v>15558.125</v>
      </c>
      <c r="S302" s="718">
        <v>0</v>
      </c>
      <c r="U302" s="718">
        <f t="shared" si="68"/>
        <v>0</v>
      </c>
      <c r="W302" s="708">
        <f t="shared" si="69"/>
        <v>15558.125</v>
      </c>
      <c r="Y302" s="699">
        <v>1.4E-3</v>
      </c>
      <c r="AA302" s="663">
        <f t="shared" si="70"/>
        <v>0</v>
      </c>
      <c r="AC302" s="673" t="s">
        <v>912</v>
      </c>
    </row>
    <row r="303" spans="1:29">
      <c r="A303" s="673">
        <v>259</v>
      </c>
      <c r="C303" s="713" t="s">
        <v>911</v>
      </c>
      <c r="E303" s="673" t="s">
        <v>912</v>
      </c>
      <c r="G303" s="673" t="s">
        <v>913</v>
      </c>
      <c r="I303" s="714" t="s">
        <v>921</v>
      </c>
      <c r="K303" s="707">
        <v>10000</v>
      </c>
      <c r="M303" s="719">
        <v>310000</v>
      </c>
      <c r="O303" s="716">
        <v>10.0375</v>
      </c>
      <c r="Q303" s="717">
        <f t="shared" si="71"/>
        <v>100375</v>
      </c>
      <c r="S303" s="718">
        <v>0</v>
      </c>
      <c r="U303" s="718">
        <f t="shared" si="68"/>
        <v>0</v>
      </c>
      <c r="W303" s="708">
        <f t="shared" si="69"/>
        <v>100375</v>
      </c>
      <c r="Y303" s="699">
        <v>1.4E-3</v>
      </c>
      <c r="AA303" s="663">
        <f t="shared" si="70"/>
        <v>434</v>
      </c>
      <c r="AC303" s="673" t="s">
        <v>912</v>
      </c>
    </row>
    <row r="304" spans="1:29">
      <c r="A304" s="673">
        <v>260</v>
      </c>
      <c r="C304" s="713" t="s">
        <v>922</v>
      </c>
      <c r="E304" s="673" t="s">
        <v>912</v>
      </c>
      <c r="G304" s="673" t="s">
        <v>913</v>
      </c>
      <c r="I304" s="714" t="s">
        <v>923</v>
      </c>
      <c r="K304" s="707">
        <v>200</v>
      </c>
      <c r="M304" s="715">
        <v>0</v>
      </c>
      <c r="O304" s="716">
        <v>10.0375</v>
      </c>
      <c r="Q304" s="717">
        <f t="shared" si="71"/>
        <v>2007.5</v>
      </c>
      <c r="S304" s="718">
        <v>0</v>
      </c>
      <c r="U304" s="718">
        <f t="shared" si="68"/>
        <v>0</v>
      </c>
      <c r="W304" s="708">
        <f t="shared" si="69"/>
        <v>2007.5</v>
      </c>
      <c r="Y304" s="699">
        <v>1.4E-3</v>
      </c>
      <c r="AA304" s="663">
        <f t="shared" si="70"/>
        <v>0</v>
      </c>
      <c r="AC304" s="673" t="s">
        <v>912</v>
      </c>
    </row>
    <row r="305" spans="1:29">
      <c r="A305" s="673">
        <v>261</v>
      </c>
      <c r="C305" s="713" t="s">
        <v>989</v>
      </c>
      <c r="E305" s="673" t="s">
        <v>912</v>
      </c>
      <c r="G305" s="673" t="s">
        <v>913</v>
      </c>
      <c r="I305" s="714" t="s">
        <v>925</v>
      </c>
      <c r="K305" s="707">
        <v>550</v>
      </c>
      <c r="M305" s="719">
        <v>3500</v>
      </c>
      <c r="O305" s="716">
        <v>10.0375</v>
      </c>
      <c r="Q305" s="717">
        <f t="shared" si="71"/>
        <v>5520.625</v>
      </c>
      <c r="S305" s="718">
        <v>0</v>
      </c>
      <c r="U305" s="718">
        <f t="shared" si="68"/>
        <v>0</v>
      </c>
      <c r="W305" s="708">
        <f t="shared" si="69"/>
        <v>5520.625</v>
      </c>
      <c r="Y305" s="699">
        <v>1.4E-3</v>
      </c>
      <c r="AA305" s="663">
        <f t="shared" si="70"/>
        <v>4.9000000000000004</v>
      </c>
      <c r="AC305" s="673" t="s">
        <v>912</v>
      </c>
    </row>
    <row r="306" spans="1:29">
      <c r="A306" s="673">
        <v>262</v>
      </c>
      <c r="C306" s="713" t="s">
        <v>911</v>
      </c>
      <c r="E306" s="673" t="s">
        <v>912</v>
      </c>
      <c r="G306" s="673" t="s">
        <v>913</v>
      </c>
      <c r="I306" s="714" t="s">
        <v>926</v>
      </c>
      <c r="K306" s="707">
        <v>5661</v>
      </c>
      <c r="M306" s="719">
        <v>175491</v>
      </c>
      <c r="O306" s="716">
        <v>10.0375</v>
      </c>
      <c r="Q306" s="717">
        <f t="shared" si="71"/>
        <v>56822.287499999999</v>
      </c>
      <c r="S306" s="718">
        <v>0</v>
      </c>
      <c r="U306" s="718">
        <f t="shared" si="68"/>
        <v>0</v>
      </c>
      <c r="W306" s="708">
        <f t="shared" si="69"/>
        <v>56822.287499999999</v>
      </c>
      <c r="Y306" s="699">
        <v>1.4E-3</v>
      </c>
      <c r="AA306" s="663">
        <f t="shared" si="70"/>
        <v>245.6874</v>
      </c>
      <c r="AC306" s="673" t="s">
        <v>912</v>
      </c>
    </row>
    <row r="307" spans="1:29">
      <c r="A307" s="673">
        <v>263</v>
      </c>
      <c r="C307" s="713" t="s">
        <v>911</v>
      </c>
      <c r="E307" s="673" t="s">
        <v>912</v>
      </c>
      <c r="G307" s="673" t="s">
        <v>913</v>
      </c>
      <c r="I307" s="714" t="s">
        <v>927</v>
      </c>
      <c r="K307" s="707">
        <v>5690</v>
      </c>
      <c r="M307" s="719">
        <v>176390</v>
      </c>
      <c r="O307" s="716">
        <v>10.0375</v>
      </c>
      <c r="Q307" s="717">
        <f t="shared" si="71"/>
        <v>57113.375</v>
      </c>
      <c r="S307" s="718">
        <v>0</v>
      </c>
      <c r="U307" s="718">
        <f t="shared" si="68"/>
        <v>0</v>
      </c>
      <c r="W307" s="708">
        <f t="shared" si="69"/>
        <v>57113.375</v>
      </c>
      <c r="Y307" s="699">
        <v>1.4E-3</v>
      </c>
      <c r="AA307" s="663">
        <f t="shared" si="70"/>
        <v>246.946</v>
      </c>
      <c r="AC307" s="673" t="s">
        <v>912</v>
      </c>
    </row>
    <row r="308" spans="1:29">
      <c r="A308" s="673">
        <v>264</v>
      </c>
      <c r="C308" s="713" t="s">
        <v>928</v>
      </c>
      <c r="E308" s="673" t="s">
        <v>912</v>
      </c>
      <c r="G308" s="673" t="s">
        <v>913</v>
      </c>
      <c r="I308" s="714" t="s">
        <v>929</v>
      </c>
      <c r="K308" s="707">
        <v>8000</v>
      </c>
      <c r="M308" s="715">
        <v>0</v>
      </c>
      <c r="O308" s="716">
        <v>10.0375</v>
      </c>
      <c r="Q308" s="717">
        <f t="shared" si="71"/>
        <v>80300</v>
      </c>
      <c r="S308" s="718">
        <v>0</v>
      </c>
      <c r="U308" s="718">
        <f t="shared" si="68"/>
        <v>0</v>
      </c>
      <c r="W308" s="708">
        <f t="shared" si="69"/>
        <v>80300</v>
      </c>
      <c r="Y308" s="699">
        <v>1.4E-3</v>
      </c>
      <c r="AA308" s="663">
        <f t="shared" si="70"/>
        <v>0</v>
      </c>
      <c r="AC308" s="673" t="s">
        <v>912</v>
      </c>
    </row>
    <row r="309" spans="1:29">
      <c r="A309" s="673">
        <v>265</v>
      </c>
      <c r="C309" s="713" t="s">
        <v>928</v>
      </c>
      <c r="E309" s="673" t="s">
        <v>912</v>
      </c>
      <c r="G309" s="673" t="s">
        <v>913</v>
      </c>
      <c r="I309" s="714" t="s">
        <v>930</v>
      </c>
      <c r="K309" s="707">
        <v>16500</v>
      </c>
      <c r="M309" s="715">
        <v>0</v>
      </c>
      <c r="O309" s="716">
        <v>10.0375</v>
      </c>
      <c r="Q309" s="717">
        <f t="shared" si="71"/>
        <v>165618.75</v>
      </c>
      <c r="S309" s="718">
        <v>0</v>
      </c>
      <c r="U309" s="718">
        <f t="shared" si="68"/>
        <v>0</v>
      </c>
      <c r="W309" s="708">
        <f t="shared" si="69"/>
        <v>165618.75</v>
      </c>
      <c r="Y309" s="699">
        <v>1.4E-3</v>
      </c>
      <c r="AA309" s="663">
        <f t="shared" si="70"/>
        <v>0</v>
      </c>
      <c r="AC309" s="673" t="s">
        <v>912</v>
      </c>
    </row>
    <row r="310" spans="1:29">
      <c r="A310" s="673">
        <v>266</v>
      </c>
      <c r="C310" s="713" t="s">
        <v>911</v>
      </c>
      <c r="E310" s="673" t="s">
        <v>912</v>
      </c>
      <c r="G310" s="673" t="s">
        <v>913</v>
      </c>
      <c r="I310" s="714" t="s">
        <v>931</v>
      </c>
      <c r="K310" s="707">
        <v>5722</v>
      </c>
      <c r="M310" s="719">
        <v>177382</v>
      </c>
      <c r="O310" s="716">
        <v>10.0375</v>
      </c>
      <c r="Q310" s="717">
        <f t="shared" si="71"/>
        <v>57434.574999999997</v>
      </c>
      <c r="S310" s="718">
        <v>0</v>
      </c>
      <c r="U310" s="718">
        <f t="shared" si="68"/>
        <v>0</v>
      </c>
      <c r="W310" s="708">
        <f t="shared" si="69"/>
        <v>57434.574999999997</v>
      </c>
      <c r="Y310" s="699">
        <v>1.4E-3</v>
      </c>
      <c r="AA310" s="663">
        <f t="shared" si="70"/>
        <v>248.3348</v>
      </c>
      <c r="AC310" s="673" t="s">
        <v>912</v>
      </c>
    </row>
    <row r="311" spans="1:29">
      <c r="A311" s="673">
        <v>267</v>
      </c>
      <c r="C311" s="713" t="s">
        <v>932</v>
      </c>
      <c r="E311" s="673" t="s">
        <v>912</v>
      </c>
      <c r="G311" s="673" t="s">
        <v>913</v>
      </c>
      <c r="I311" s="714" t="s">
        <v>933</v>
      </c>
      <c r="K311" s="707">
        <v>760</v>
      </c>
      <c r="M311" s="719">
        <v>23543</v>
      </c>
      <c r="O311" s="716">
        <v>10.0375</v>
      </c>
      <c r="Q311" s="717">
        <f t="shared" si="71"/>
        <v>7628.5</v>
      </c>
      <c r="S311" s="718">
        <v>0</v>
      </c>
      <c r="U311" s="718">
        <f t="shared" si="68"/>
        <v>0</v>
      </c>
      <c r="W311" s="708">
        <f t="shared" si="69"/>
        <v>7628.5</v>
      </c>
      <c r="Y311" s="699">
        <v>1.4E-3</v>
      </c>
      <c r="AA311" s="663">
        <f t="shared" si="70"/>
        <v>32.9602</v>
      </c>
      <c r="AC311" s="673" t="s">
        <v>912</v>
      </c>
    </row>
    <row r="312" spans="1:29">
      <c r="A312" s="673">
        <v>268</v>
      </c>
      <c r="C312" s="713" t="s">
        <v>922</v>
      </c>
      <c r="E312" s="673" t="s">
        <v>912</v>
      </c>
      <c r="G312" s="673" t="s">
        <v>913</v>
      </c>
      <c r="I312" s="714" t="s">
        <v>934</v>
      </c>
      <c r="K312" s="707">
        <v>150</v>
      </c>
      <c r="M312" s="715">
        <v>0</v>
      </c>
      <c r="O312" s="716">
        <v>10.0375</v>
      </c>
      <c r="Q312" s="717">
        <f t="shared" si="71"/>
        <v>1505.625</v>
      </c>
      <c r="S312" s="718">
        <v>0</v>
      </c>
      <c r="U312" s="718">
        <f t="shared" si="68"/>
        <v>0</v>
      </c>
      <c r="W312" s="708">
        <f t="shared" si="69"/>
        <v>1505.625</v>
      </c>
      <c r="Y312" s="699">
        <v>1.4E-3</v>
      </c>
      <c r="AA312" s="663">
        <f t="shared" si="70"/>
        <v>0</v>
      </c>
      <c r="AC312" s="673" t="s">
        <v>912</v>
      </c>
    </row>
    <row r="313" spans="1:29">
      <c r="A313" s="673">
        <v>269</v>
      </c>
      <c r="C313" s="713" t="s">
        <v>922</v>
      </c>
      <c r="E313" s="673" t="s">
        <v>912</v>
      </c>
      <c r="G313" s="673" t="s">
        <v>913</v>
      </c>
      <c r="I313" s="714" t="s">
        <v>935</v>
      </c>
      <c r="K313" s="707">
        <v>250</v>
      </c>
      <c r="M313" s="715">
        <v>0</v>
      </c>
      <c r="O313" s="716">
        <v>10.0375</v>
      </c>
      <c r="Q313" s="717">
        <f t="shared" si="71"/>
        <v>2509.375</v>
      </c>
      <c r="S313" s="718">
        <v>0</v>
      </c>
      <c r="U313" s="718">
        <f t="shared" si="68"/>
        <v>0</v>
      </c>
      <c r="W313" s="708">
        <f t="shared" si="69"/>
        <v>2509.375</v>
      </c>
      <c r="Y313" s="699">
        <v>1.4E-3</v>
      </c>
      <c r="AA313" s="663">
        <f t="shared" si="70"/>
        <v>0</v>
      </c>
      <c r="AC313" s="673" t="s">
        <v>912</v>
      </c>
    </row>
    <row r="314" spans="1:29">
      <c r="A314" s="673">
        <v>270</v>
      </c>
      <c r="C314" s="713" t="s">
        <v>922</v>
      </c>
      <c r="E314" s="673" t="s">
        <v>912</v>
      </c>
      <c r="G314" s="673" t="s">
        <v>913</v>
      </c>
      <c r="I314" s="714" t="s">
        <v>936</v>
      </c>
      <c r="K314" s="707">
        <v>400</v>
      </c>
      <c r="M314" s="719">
        <v>3150</v>
      </c>
      <c r="O314" s="716">
        <v>10.0375</v>
      </c>
      <c r="Q314" s="717">
        <f t="shared" si="71"/>
        <v>4015</v>
      </c>
      <c r="S314" s="718">
        <v>0</v>
      </c>
      <c r="U314" s="718">
        <f t="shared" si="68"/>
        <v>0</v>
      </c>
      <c r="W314" s="708">
        <f t="shared" si="69"/>
        <v>4015</v>
      </c>
      <c r="Y314" s="699">
        <v>1.4E-3</v>
      </c>
      <c r="AA314" s="663">
        <f t="shared" si="70"/>
        <v>4.41</v>
      </c>
      <c r="AC314" s="673" t="s">
        <v>912</v>
      </c>
    </row>
    <row r="315" spans="1:29">
      <c r="A315" s="673">
        <v>271</v>
      </c>
      <c r="C315" s="713" t="s">
        <v>911</v>
      </c>
      <c r="E315" s="673" t="s">
        <v>912</v>
      </c>
      <c r="G315" s="673" t="s">
        <v>913</v>
      </c>
      <c r="I315" s="714" t="s">
        <v>937</v>
      </c>
      <c r="K315" s="707">
        <v>40000</v>
      </c>
      <c r="M315" s="719">
        <v>155000</v>
      </c>
      <c r="O315" s="716">
        <v>10.0375</v>
      </c>
      <c r="Q315" s="717">
        <f t="shared" si="71"/>
        <v>401500</v>
      </c>
      <c r="S315" s="718">
        <v>0</v>
      </c>
      <c r="U315" s="718">
        <f t="shared" si="68"/>
        <v>0</v>
      </c>
      <c r="W315" s="708">
        <f t="shared" si="69"/>
        <v>401500</v>
      </c>
      <c r="Y315" s="699">
        <v>1.4E-3</v>
      </c>
      <c r="AA315" s="663">
        <f t="shared" si="70"/>
        <v>217</v>
      </c>
      <c r="AC315" s="673" t="s">
        <v>912</v>
      </c>
    </row>
    <row r="316" spans="1:29">
      <c r="A316" s="673">
        <v>272</v>
      </c>
      <c r="C316" s="713" t="s">
        <v>990</v>
      </c>
      <c r="E316" s="673" t="s">
        <v>912</v>
      </c>
      <c r="G316" s="673" t="s">
        <v>913</v>
      </c>
      <c r="I316" s="714" t="s">
        <v>939</v>
      </c>
      <c r="K316" s="707">
        <v>800</v>
      </c>
      <c r="M316" s="719">
        <v>24800</v>
      </c>
      <c r="O316" s="716">
        <v>10.0375</v>
      </c>
      <c r="Q316" s="717">
        <f t="shared" si="71"/>
        <v>8030</v>
      </c>
      <c r="S316" s="718">
        <v>0</v>
      </c>
      <c r="U316" s="718">
        <f t="shared" si="68"/>
        <v>0</v>
      </c>
      <c r="W316" s="708">
        <f t="shared" si="69"/>
        <v>8030</v>
      </c>
      <c r="Y316" s="699">
        <v>1.4E-3</v>
      </c>
      <c r="AA316" s="663">
        <f t="shared" si="70"/>
        <v>34.72</v>
      </c>
      <c r="AC316" s="673" t="s">
        <v>912</v>
      </c>
    </row>
    <row r="317" spans="1:29">
      <c r="A317" s="673">
        <v>273</v>
      </c>
      <c r="C317" s="713" t="s">
        <v>990</v>
      </c>
      <c r="E317" s="673" t="s">
        <v>912</v>
      </c>
      <c r="G317" s="673" t="s">
        <v>913</v>
      </c>
      <c r="I317" s="714" t="s">
        <v>940</v>
      </c>
      <c r="K317" s="707">
        <v>200</v>
      </c>
      <c r="M317" s="719">
        <v>3650</v>
      </c>
      <c r="O317" s="716">
        <v>10.0375</v>
      </c>
      <c r="Q317" s="717">
        <f t="shared" si="71"/>
        <v>2007.5</v>
      </c>
      <c r="S317" s="718">
        <v>0</v>
      </c>
      <c r="U317" s="718">
        <f t="shared" si="68"/>
        <v>0</v>
      </c>
      <c r="W317" s="708">
        <f t="shared" si="69"/>
        <v>2007.5</v>
      </c>
      <c r="Y317" s="699">
        <v>1.4E-3</v>
      </c>
      <c r="AA317" s="663">
        <f t="shared" si="70"/>
        <v>5.1100000000000003</v>
      </c>
      <c r="AC317" s="673" t="s">
        <v>912</v>
      </c>
    </row>
    <row r="318" spans="1:29">
      <c r="A318" s="673">
        <v>274</v>
      </c>
      <c r="C318" s="713" t="s">
        <v>990</v>
      </c>
      <c r="E318" s="673" t="s">
        <v>912</v>
      </c>
      <c r="G318" s="673" t="s">
        <v>913</v>
      </c>
      <c r="I318" s="714" t="s">
        <v>941</v>
      </c>
      <c r="K318" s="707">
        <v>400</v>
      </c>
      <c r="M318" s="719">
        <v>12400</v>
      </c>
      <c r="O318" s="716">
        <v>10.0375</v>
      </c>
      <c r="Q318" s="717">
        <f t="shared" si="71"/>
        <v>4015</v>
      </c>
      <c r="S318" s="718">
        <v>0</v>
      </c>
      <c r="U318" s="718">
        <f t="shared" si="68"/>
        <v>0</v>
      </c>
      <c r="W318" s="708">
        <f t="shared" si="69"/>
        <v>4015</v>
      </c>
      <c r="Y318" s="699">
        <v>1.4E-3</v>
      </c>
      <c r="AA318" s="663">
        <f t="shared" si="70"/>
        <v>17.36</v>
      </c>
      <c r="AC318" s="673" t="s">
        <v>912</v>
      </c>
    </row>
    <row r="319" spans="1:29">
      <c r="A319" s="673">
        <v>275</v>
      </c>
      <c r="C319" s="700" t="s">
        <v>960</v>
      </c>
      <c r="K319" s="701">
        <f>SUM(K299:K318)</f>
        <v>203983</v>
      </c>
      <c r="M319" s="702">
        <f>SUM(M299:M318)</f>
        <v>3060179</v>
      </c>
      <c r="Q319" s="703">
        <f>SUM(Q299:Q318)</f>
        <v>2047479.3625</v>
      </c>
      <c r="U319" s="703">
        <f>SUM(U299:U318)</f>
        <v>0</v>
      </c>
      <c r="W319" s="703">
        <f>SUM(W299:W318)</f>
        <v>2047479.3625</v>
      </c>
      <c r="AA319" s="703">
        <f>SUM(AA299:AA318)</f>
        <v>4284.2505999999994</v>
      </c>
      <c r="AC319" s="705"/>
    </row>
    <row r="320" spans="1:29">
      <c r="C320" s="700" t="s">
        <v>961</v>
      </c>
    </row>
    <row r="321" spans="1:35">
      <c r="A321" s="673">
        <v>276</v>
      </c>
      <c r="C321" s="729" t="s">
        <v>958</v>
      </c>
      <c r="D321" s="682"/>
      <c r="E321" s="681" t="s">
        <v>912</v>
      </c>
      <c r="F321" s="681"/>
      <c r="G321" s="681" t="s">
        <v>962</v>
      </c>
      <c r="H321" s="682"/>
      <c r="I321" s="730" t="s">
        <v>964</v>
      </c>
      <c r="J321" s="681"/>
      <c r="K321" s="731">
        <v>0</v>
      </c>
      <c r="M321" s="719">
        <v>6848</v>
      </c>
      <c r="O321" s="716">
        <v>10.0375</v>
      </c>
      <c r="Q321" s="717">
        <f t="shared" ref="Q321:Q326" si="72">K321*O321</f>
        <v>0</v>
      </c>
      <c r="S321" s="718">
        <v>0</v>
      </c>
      <c r="U321" s="718">
        <f t="shared" ref="U321:U327" si="73">M321*S321</f>
        <v>0</v>
      </c>
      <c r="W321" s="708">
        <f t="shared" ref="W321:W327" si="74">Q321+U321</f>
        <v>0</v>
      </c>
      <c r="Y321" s="699">
        <v>1.4E-3</v>
      </c>
      <c r="AA321" s="663">
        <f t="shared" ref="AA321:AA327" si="75">Y321*M321</f>
        <v>9.5871999999999993</v>
      </c>
      <c r="AC321" s="673" t="s">
        <v>912</v>
      </c>
    </row>
    <row r="322" spans="1:35">
      <c r="A322" s="673">
        <v>277</v>
      </c>
      <c r="C322" s="729" t="s">
        <v>932</v>
      </c>
      <c r="D322" s="682"/>
      <c r="E322" s="681" t="s">
        <v>912</v>
      </c>
      <c r="F322" s="681"/>
      <c r="G322" s="681" t="s">
        <v>962</v>
      </c>
      <c r="H322" s="682"/>
      <c r="I322" s="730" t="s">
        <v>965</v>
      </c>
      <c r="J322" s="681"/>
      <c r="K322" s="731">
        <v>0</v>
      </c>
      <c r="M322" s="715">
        <v>4650</v>
      </c>
      <c r="O322" s="716">
        <v>10.0375</v>
      </c>
      <c r="Q322" s="717">
        <f t="shared" si="72"/>
        <v>0</v>
      </c>
      <c r="S322" s="718">
        <v>0</v>
      </c>
      <c r="U322" s="718">
        <f t="shared" si="73"/>
        <v>0</v>
      </c>
      <c r="W322" s="708">
        <f t="shared" si="74"/>
        <v>0</v>
      </c>
      <c r="Y322" s="699">
        <v>1.4E-3</v>
      </c>
      <c r="AA322" s="663">
        <f t="shared" si="75"/>
        <v>6.51</v>
      </c>
      <c r="AC322" s="673" t="s">
        <v>912</v>
      </c>
    </row>
    <row r="323" spans="1:35">
      <c r="A323" s="673">
        <v>278</v>
      </c>
      <c r="C323" s="729" t="s">
        <v>991</v>
      </c>
      <c r="D323" s="682"/>
      <c r="E323" s="681" t="s">
        <v>912</v>
      </c>
      <c r="F323" s="681"/>
      <c r="G323" s="681" t="s">
        <v>962</v>
      </c>
      <c r="H323" s="682"/>
      <c r="I323" s="730" t="s">
        <v>967</v>
      </c>
      <c r="J323" s="681"/>
      <c r="K323" s="731">
        <v>0</v>
      </c>
      <c r="M323" s="719">
        <v>337213</v>
      </c>
      <c r="O323" s="716">
        <v>10.0375</v>
      </c>
      <c r="Q323" s="717">
        <f t="shared" si="72"/>
        <v>0</v>
      </c>
      <c r="S323" s="718">
        <v>0</v>
      </c>
      <c r="U323" s="718">
        <f t="shared" si="73"/>
        <v>0</v>
      </c>
      <c r="W323" s="708">
        <f t="shared" si="74"/>
        <v>0</v>
      </c>
      <c r="Y323" s="699">
        <v>1.4E-3</v>
      </c>
      <c r="AA323" s="663">
        <f t="shared" si="75"/>
        <v>472.09820000000002</v>
      </c>
      <c r="AC323" s="673" t="s">
        <v>912</v>
      </c>
    </row>
    <row r="324" spans="1:35">
      <c r="A324" s="673">
        <v>279</v>
      </c>
      <c r="C324" s="729" t="s">
        <v>991</v>
      </c>
      <c r="D324" s="682"/>
      <c r="E324" s="681" t="s">
        <v>912</v>
      </c>
      <c r="F324" s="681"/>
      <c r="G324" s="681" t="s">
        <v>962</v>
      </c>
      <c r="H324" s="682"/>
      <c r="I324" s="730" t="s">
        <v>968</v>
      </c>
      <c r="J324" s="681"/>
      <c r="K324" s="731">
        <v>0</v>
      </c>
      <c r="M324" s="719">
        <v>5270</v>
      </c>
      <c r="O324" s="745">
        <v>0</v>
      </c>
      <c r="Q324" s="717">
        <f t="shared" si="72"/>
        <v>0</v>
      </c>
      <c r="S324" s="718">
        <v>0</v>
      </c>
      <c r="U324" s="718">
        <f t="shared" si="73"/>
        <v>0</v>
      </c>
      <c r="W324" s="708">
        <f t="shared" si="74"/>
        <v>0</v>
      </c>
      <c r="Y324" s="699">
        <v>1.4E-3</v>
      </c>
      <c r="AA324" s="663">
        <f t="shared" si="75"/>
        <v>7.3780000000000001</v>
      </c>
      <c r="AC324" s="673" t="s">
        <v>912</v>
      </c>
      <c r="AE324" s="708"/>
    </row>
    <row r="325" spans="1:35">
      <c r="A325" s="673">
        <v>280</v>
      </c>
      <c r="C325" s="729" t="s">
        <v>972</v>
      </c>
      <c r="D325" s="682"/>
      <c r="E325" s="681" t="s">
        <v>912</v>
      </c>
      <c r="F325" s="681"/>
      <c r="G325" s="681" t="s">
        <v>970</v>
      </c>
      <c r="H325" s="682"/>
      <c r="I325" s="730" t="s">
        <v>973</v>
      </c>
      <c r="J325" s="681"/>
      <c r="K325" s="731">
        <v>150</v>
      </c>
      <c r="M325" s="715">
        <v>0</v>
      </c>
      <c r="O325" s="716">
        <v>10.0375</v>
      </c>
      <c r="Q325" s="717">
        <f t="shared" si="72"/>
        <v>1505.625</v>
      </c>
      <c r="S325" s="718">
        <v>0</v>
      </c>
      <c r="U325" s="718">
        <f t="shared" si="73"/>
        <v>0</v>
      </c>
      <c r="W325" s="708">
        <f t="shared" si="74"/>
        <v>1505.625</v>
      </c>
      <c r="Y325" s="699">
        <v>1.4E-3</v>
      </c>
      <c r="AA325" s="663">
        <f t="shared" si="75"/>
        <v>0</v>
      </c>
      <c r="AC325" s="673" t="s">
        <v>912</v>
      </c>
    </row>
    <row r="326" spans="1:35">
      <c r="A326" s="673">
        <v>281</v>
      </c>
      <c r="C326" s="729" t="s">
        <v>974</v>
      </c>
      <c r="D326" s="682"/>
      <c r="E326" s="681" t="s">
        <v>912</v>
      </c>
      <c r="F326" s="681"/>
      <c r="G326" s="681" t="s">
        <v>970</v>
      </c>
      <c r="H326" s="682"/>
      <c r="I326" s="730" t="s">
        <v>975</v>
      </c>
      <c r="J326" s="681"/>
      <c r="K326" s="731">
        <v>20000</v>
      </c>
      <c r="M326" s="715">
        <v>0</v>
      </c>
      <c r="O326" s="716">
        <v>10.0375</v>
      </c>
      <c r="Q326" s="717">
        <f t="shared" si="72"/>
        <v>200750</v>
      </c>
      <c r="S326" s="718">
        <v>0</v>
      </c>
      <c r="U326" s="718">
        <f t="shared" si="73"/>
        <v>0</v>
      </c>
      <c r="W326" s="708">
        <f t="shared" si="74"/>
        <v>200750</v>
      </c>
      <c r="Y326" s="699">
        <v>1.4E-3</v>
      </c>
      <c r="AA326" s="663">
        <f t="shared" si="75"/>
        <v>0</v>
      </c>
      <c r="AC326" s="673" t="s">
        <v>912</v>
      </c>
    </row>
    <row r="327" spans="1:35">
      <c r="A327" s="673">
        <v>282</v>
      </c>
      <c r="C327" s="729" t="s">
        <v>992</v>
      </c>
      <c r="D327" s="682"/>
      <c r="E327" s="681" t="s">
        <v>912</v>
      </c>
      <c r="F327" s="681"/>
      <c r="G327" s="681" t="s">
        <v>970</v>
      </c>
      <c r="H327" s="682"/>
      <c r="I327" s="730" t="s">
        <v>963</v>
      </c>
      <c r="J327" s="681"/>
      <c r="K327" s="733">
        <v>500</v>
      </c>
      <c r="M327" s="719">
        <v>5580</v>
      </c>
      <c r="O327" s="716">
        <v>10.0375</v>
      </c>
      <c r="Q327" s="717">
        <f>K327*O327</f>
        <v>5018.75</v>
      </c>
      <c r="S327" s="718">
        <v>0</v>
      </c>
      <c r="U327" s="718">
        <f t="shared" si="73"/>
        <v>0</v>
      </c>
      <c r="W327" s="708">
        <f t="shared" si="74"/>
        <v>5018.75</v>
      </c>
      <c r="Y327" s="699">
        <v>1.4E-3</v>
      </c>
      <c r="AA327" s="663">
        <f t="shared" si="75"/>
        <v>7.8120000000000003</v>
      </c>
      <c r="AC327" s="673" t="s">
        <v>912</v>
      </c>
    </row>
    <row r="328" spans="1:35">
      <c r="A328" s="673">
        <v>283</v>
      </c>
      <c r="C328" s="683" t="s">
        <v>976</v>
      </c>
      <c r="J328" s="673"/>
      <c r="K328" s="701">
        <f>SUM(K321:K327)</f>
        <v>20650</v>
      </c>
      <c r="M328" s="702">
        <f>SUM(M321:M327)</f>
        <v>359561</v>
      </c>
      <c r="Q328" s="703">
        <f>SUM(Q321:Q327)</f>
        <v>207274.375</v>
      </c>
      <c r="U328" s="703">
        <f>SUM(U321:U327)</f>
        <v>0</v>
      </c>
      <c r="W328" s="703">
        <f>SUM(W321:W327)</f>
        <v>207274.375</v>
      </c>
      <c r="AA328" s="703">
        <f>SUM(AA321:AA327)</f>
        <v>503.3854</v>
      </c>
    </row>
    <row r="329" spans="1:35">
      <c r="C329" s="683" t="s">
        <v>877</v>
      </c>
      <c r="J329" s="673"/>
    </row>
    <row r="330" spans="1:35">
      <c r="A330" s="673">
        <v>284</v>
      </c>
      <c r="C330" s="713" t="s">
        <v>932</v>
      </c>
      <c r="E330" s="673" t="s">
        <v>912</v>
      </c>
      <c r="G330" s="681" t="s">
        <v>977</v>
      </c>
      <c r="I330" s="714" t="s">
        <v>978</v>
      </c>
      <c r="J330" s="673"/>
      <c r="K330" s="676">
        <v>0</v>
      </c>
      <c r="M330" s="715">
        <v>33209</v>
      </c>
      <c r="O330" s="732">
        <v>0</v>
      </c>
      <c r="Q330" s="746">
        <f>O330*K330</f>
        <v>0</v>
      </c>
      <c r="S330" s="737">
        <v>0.33</v>
      </c>
      <c r="U330" s="717">
        <f>S330*M330</f>
        <v>10958.970000000001</v>
      </c>
      <c r="W330" s="708">
        <f>S330+U330</f>
        <v>10959.300000000001</v>
      </c>
      <c r="Y330" s="699">
        <v>1.4E-3</v>
      </c>
      <c r="AA330" s="663">
        <f>Y330*M330</f>
        <v>46.492600000000003</v>
      </c>
      <c r="AC330" s="673" t="s">
        <v>912</v>
      </c>
    </row>
    <row r="331" spans="1:35">
      <c r="A331" s="673">
        <v>285</v>
      </c>
      <c r="C331" s="683" t="s">
        <v>982</v>
      </c>
      <c r="K331" s="701">
        <f>SUM(K330)</f>
        <v>0</v>
      </c>
      <c r="M331" s="702">
        <f>SUM(M330)</f>
        <v>33209</v>
      </c>
      <c r="Q331" s="703">
        <f>SUM(Q330)</f>
        <v>0</v>
      </c>
      <c r="U331" s="703">
        <f>SUM(U330)</f>
        <v>10958.970000000001</v>
      </c>
      <c r="W331" s="703">
        <f>SUM(W330)</f>
        <v>10959.300000000001</v>
      </c>
      <c r="AA331" s="703">
        <f>SUM(AA330)</f>
        <v>46.492600000000003</v>
      </c>
    </row>
    <row r="332" spans="1:35">
      <c r="K332" s="673"/>
      <c r="M332" s="673"/>
      <c r="Q332" s="673"/>
      <c r="U332" s="673"/>
      <c r="W332" s="673"/>
    </row>
    <row r="333" spans="1:35">
      <c r="C333" s="677" t="s">
        <v>995</v>
      </c>
      <c r="D333" s="677"/>
      <c r="E333" s="678"/>
      <c r="F333" s="678"/>
      <c r="G333" s="678"/>
      <c r="H333" s="677"/>
      <c r="I333" s="678"/>
      <c r="J333" s="677"/>
      <c r="K333" s="679"/>
      <c r="L333" s="677"/>
      <c r="M333" s="680"/>
      <c r="N333" s="677"/>
      <c r="O333" s="677"/>
      <c r="P333" s="677"/>
      <c r="Q333" s="677"/>
      <c r="R333" s="677"/>
      <c r="S333" s="677"/>
      <c r="T333" s="677"/>
      <c r="U333" s="677"/>
      <c r="V333" s="677"/>
      <c r="W333" s="677"/>
      <c r="X333" s="677"/>
      <c r="Y333" s="677"/>
      <c r="Z333" s="677"/>
      <c r="AA333" s="677"/>
      <c r="AB333" s="677"/>
      <c r="AC333" s="677"/>
    </row>
    <row r="334" spans="1:35">
      <c r="C334" s="683" t="s">
        <v>876</v>
      </c>
    </row>
    <row r="335" spans="1:35">
      <c r="A335" s="673">
        <v>286</v>
      </c>
      <c r="C335" s="713" t="s">
        <v>911</v>
      </c>
      <c r="E335" s="673" t="s">
        <v>912</v>
      </c>
      <c r="G335" s="673" t="s">
        <v>913</v>
      </c>
      <c r="I335" s="714" t="s">
        <v>914</v>
      </c>
      <c r="K335" s="707">
        <v>105750</v>
      </c>
      <c r="M335" s="747">
        <v>1827793</v>
      </c>
      <c r="N335" s="682"/>
      <c r="O335" s="716">
        <v>10.0375</v>
      </c>
      <c r="P335" s="682"/>
      <c r="Q335" s="717">
        <f t="shared" ref="Q335:Q354" si="76">K335*O335</f>
        <v>1061465.625</v>
      </c>
      <c r="R335" s="682"/>
      <c r="S335" s="718">
        <v>0</v>
      </c>
      <c r="T335" s="682"/>
      <c r="U335" s="718">
        <f t="shared" ref="U335:U354" si="77">M335*S335</f>
        <v>0</v>
      </c>
      <c r="V335" s="682"/>
      <c r="W335" s="708">
        <f t="shared" ref="W335:W354" si="78">Q335+U335</f>
        <v>1061465.625</v>
      </c>
      <c r="X335" s="682"/>
      <c r="Y335" s="699">
        <v>1.4E-3</v>
      </c>
      <c r="Z335" s="682"/>
      <c r="AA335" s="663">
        <f t="shared" ref="AA335:AA354" si="79">Y335*M335</f>
        <v>2558.9101999999998</v>
      </c>
      <c r="AB335" s="682"/>
      <c r="AC335" s="673" t="s">
        <v>912</v>
      </c>
      <c r="AD335" s="682"/>
      <c r="AE335" s="682"/>
      <c r="AF335" s="682"/>
      <c r="AG335" s="682"/>
      <c r="AH335" s="682"/>
      <c r="AI335" s="682"/>
    </row>
    <row r="336" spans="1:35">
      <c r="A336" s="673">
        <v>287</v>
      </c>
      <c r="C336" s="713" t="s">
        <v>915</v>
      </c>
      <c r="E336" s="673" t="s">
        <v>912</v>
      </c>
      <c r="G336" s="673" t="s">
        <v>913</v>
      </c>
      <c r="I336" s="714" t="s">
        <v>916</v>
      </c>
      <c r="K336" s="707">
        <v>200</v>
      </c>
      <c r="M336" s="719">
        <v>1500</v>
      </c>
      <c r="O336" s="716">
        <v>10.0375</v>
      </c>
      <c r="Q336" s="717">
        <f t="shared" si="76"/>
        <v>2007.5</v>
      </c>
      <c r="S336" s="718">
        <v>0</v>
      </c>
      <c r="U336" s="718">
        <f t="shared" si="77"/>
        <v>0</v>
      </c>
      <c r="W336" s="708">
        <f t="shared" si="78"/>
        <v>2007.5</v>
      </c>
      <c r="Y336" s="699">
        <v>1.4E-3</v>
      </c>
      <c r="AA336" s="663">
        <f t="shared" si="79"/>
        <v>2.1</v>
      </c>
      <c r="AC336" s="673" t="s">
        <v>912</v>
      </c>
    </row>
    <row r="337" spans="1:31">
      <c r="A337" s="673">
        <v>288</v>
      </c>
      <c r="C337" s="713" t="s">
        <v>917</v>
      </c>
      <c r="E337" s="673" t="s">
        <v>912</v>
      </c>
      <c r="G337" s="673" t="s">
        <v>913</v>
      </c>
      <c r="I337" s="714" t="s">
        <v>918</v>
      </c>
      <c r="K337" s="707">
        <v>1200</v>
      </c>
      <c r="M337" s="719">
        <v>1543</v>
      </c>
      <c r="O337" s="716">
        <v>10.0375</v>
      </c>
      <c r="Q337" s="717">
        <f t="shared" si="76"/>
        <v>12045</v>
      </c>
      <c r="S337" s="718">
        <v>0</v>
      </c>
      <c r="U337" s="718">
        <f t="shared" si="77"/>
        <v>0</v>
      </c>
      <c r="W337" s="708">
        <f t="shared" si="78"/>
        <v>12045</v>
      </c>
      <c r="Y337" s="699">
        <v>1.4E-3</v>
      </c>
      <c r="AA337" s="663">
        <f t="shared" si="79"/>
        <v>2.1602000000000001</v>
      </c>
      <c r="AC337" s="673" t="s">
        <v>912</v>
      </c>
    </row>
    <row r="338" spans="1:31">
      <c r="A338" s="673">
        <v>289</v>
      </c>
      <c r="C338" s="713" t="s">
        <v>919</v>
      </c>
      <c r="E338" s="673" t="s">
        <v>912</v>
      </c>
      <c r="G338" s="673" t="s">
        <v>913</v>
      </c>
      <c r="I338" s="714" t="s">
        <v>920</v>
      </c>
      <c r="K338" s="707">
        <v>1550</v>
      </c>
      <c r="M338" s="715">
        <v>0</v>
      </c>
      <c r="O338" s="716">
        <v>10.0375</v>
      </c>
      <c r="Q338" s="717">
        <f t="shared" si="76"/>
        <v>15558.125</v>
      </c>
      <c r="S338" s="718">
        <v>0</v>
      </c>
      <c r="U338" s="718">
        <f t="shared" si="77"/>
        <v>0</v>
      </c>
      <c r="W338" s="708">
        <f t="shared" si="78"/>
        <v>15558.125</v>
      </c>
      <c r="Y338" s="699">
        <v>1.4E-3</v>
      </c>
      <c r="AA338" s="663">
        <f t="shared" si="79"/>
        <v>0</v>
      </c>
      <c r="AC338" s="673" t="s">
        <v>912</v>
      </c>
    </row>
    <row r="339" spans="1:31">
      <c r="A339" s="673">
        <v>290</v>
      </c>
      <c r="C339" s="713" t="s">
        <v>911</v>
      </c>
      <c r="E339" s="673" t="s">
        <v>912</v>
      </c>
      <c r="G339" s="673" t="s">
        <v>913</v>
      </c>
      <c r="I339" s="714" t="s">
        <v>921</v>
      </c>
      <c r="K339" s="707">
        <v>10000</v>
      </c>
      <c r="M339" s="719">
        <v>300000</v>
      </c>
      <c r="O339" s="716">
        <v>10.0375</v>
      </c>
      <c r="Q339" s="717">
        <f t="shared" si="76"/>
        <v>100375</v>
      </c>
      <c r="S339" s="718">
        <v>0</v>
      </c>
      <c r="U339" s="718">
        <f t="shared" si="77"/>
        <v>0</v>
      </c>
      <c r="W339" s="708">
        <f t="shared" si="78"/>
        <v>100375</v>
      </c>
      <c r="Y339" s="699">
        <v>1.4E-3</v>
      </c>
      <c r="AA339" s="663">
        <f t="shared" si="79"/>
        <v>420</v>
      </c>
      <c r="AC339" s="673" t="s">
        <v>912</v>
      </c>
    </row>
    <row r="340" spans="1:31">
      <c r="A340" s="673">
        <v>291</v>
      </c>
      <c r="C340" s="713" t="s">
        <v>922</v>
      </c>
      <c r="E340" s="673" t="s">
        <v>912</v>
      </c>
      <c r="G340" s="673" t="s">
        <v>913</v>
      </c>
      <c r="I340" s="714" t="s">
        <v>923</v>
      </c>
      <c r="K340" s="707">
        <v>200</v>
      </c>
      <c r="M340" s="715">
        <v>0</v>
      </c>
      <c r="O340" s="716">
        <v>10.0375</v>
      </c>
      <c r="Q340" s="717">
        <f t="shared" si="76"/>
        <v>2007.5</v>
      </c>
      <c r="S340" s="718">
        <v>0</v>
      </c>
      <c r="U340" s="718">
        <f t="shared" si="77"/>
        <v>0</v>
      </c>
      <c r="W340" s="708">
        <f t="shared" si="78"/>
        <v>2007.5</v>
      </c>
      <c r="Y340" s="699">
        <v>1.4E-3</v>
      </c>
      <c r="AA340" s="663">
        <f t="shared" si="79"/>
        <v>0</v>
      </c>
      <c r="AC340" s="673" t="s">
        <v>912</v>
      </c>
    </row>
    <row r="341" spans="1:31">
      <c r="A341" s="673">
        <v>292</v>
      </c>
      <c r="C341" s="713" t="s">
        <v>989</v>
      </c>
      <c r="E341" s="673" t="s">
        <v>912</v>
      </c>
      <c r="G341" s="673" t="s">
        <v>913</v>
      </c>
      <c r="I341" s="714" t="s">
        <v>925</v>
      </c>
      <c r="K341" s="707">
        <v>550</v>
      </c>
      <c r="M341" s="719">
        <v>5100</v>
      </c>
      <c r="O341" s="716">
        <v>10.0375</v>
      </c>
      <c r="Q341" s="717">
        <f t="shared" si="76"/>
        <v>5520.625</v>
      </c>
      <c r="S341" s="718">
        <v>0</v>
      </c>
      <c r="U341" s="718">
        <f t="shared" si="77"/>
        <v>0</v>
      </c>
      <c r="W341" s="708">
        <f t="shared" si="78"/>
        <v>5520.625</v>
      </c>
      <c r="Y341" s="699">
        <v>1.4E-3</v>
      </c>
      <c r="AA341" s="663">
        <f t="shared" si="79"/>
        <v>7.14</v>
      </c>
      <c r="AC341" s="673" t="s">
        <v>912</v>
      </c>
    </row>
    <row r="342" spans="1:31">
      <c r="A342" s="673">
        <v>293</v>
      </c>
      <c r="C342" s="713" t="s">
        <v>911</v>
      </c>
      <c r="E342" s="673" t="s">
        <v>912</v>
      </c>
      <c r="G342" s="673" t="s">
        <v>913</v>
      </c>
      <c r="I342" s="714" t="s">
        <v>926</v>
      </c>
      <c r="K342" s="707">
        <v>5661</v>
      </c>
      <c r="M342" s="719">
        <v>169830</v>
      </c>
      <c r="O342" s="716">
        <v>10.0375</v>
      </c>
      <c r="Q342" s="717">
        <f t="shared" si="76"/>
        <v>56822.287499999999</v>
      </c>
      <c r="S342" s="718">
        <v>0</v>
      </c>
      <c r="U342" s="718">
        <f t="shared" si="77"/>
        <v>0</v>
      </c>
      <c r="W342" s="708">
        <f t="shared" si="78"/>
        <v>56822.287499999999</v>
      </c>
      <c r="Y342" s="699">
        <v>1.4E-3</v>
      </c>
      <c r="AA342" s="663">
        <f t="shared" si="79"/>
        <v>237.762</v>
      </c>
      <c r="AC342" s="673" t="s">
        <v>912</v>
      </c>
    </row>
    <row r="343" spans="1:31">
      <c r="A343" s="673">
        <v>294</v>
      </c>
      <c r="C343" s="713" t="s">
        <v>911</v>
      </c>
      <c r="E343" s="673" t="s">
        <v>912</v>
      </c>
      <c r="G343" s="673" t="s">
        <v>913</v>
      </c>
      <c r="I343" s="714" t="s">
        <v>927</v>
      </c>
      <c r="K343" s="707">
        <v>5690</v>
      </c>
      <c r="M343" s="719">
        <v>170700</v>
      </c>
      <c r="O343" s="716">
        <v>10.0375</v>
      </c>
      <c r="Q343" s="717">
        <f t="shared" si="76"/>
        <v>57113.375</v>
      </c>
      <c r="S343" s="718">
        <v>0</v>
      </c>
      <c r="U343" s="718">
        <f t="shared" si="77"/>
        <v>0</v>
      </c>
      <c r="W343" s="708">
        <f t="shared" si="78"/>
        <v>57113.375</v>
      </c>
      <c r="Y343" s="699">
        <v>1.4E-3</v>
      </c>
      <c r="AA343" s="663">
        <f t="shared" si="79"/>
        <v>238.98</v>
      </c>
      <c r="AC343" s="673" t="s">
        <v>912</v>
      </c>
    </row>
    <row r="344" spans="1:31">
      <c r="A344" s="673">
        <v>295</v>
      </c>
      <c r="C344" s="713" t="s">
        <v>928</v>
      </c>
      <c r="E344" s="673" t="s">
        <v>912</v>
      </c>
      <c r="G344" s="673" t="s">
        <v>913</v>
      </c>
      <c r="I344" s="714" t="s">
        <v>929</v>
      </c>
      <c r="K344" s="707">
        <v>8000</v>
      </c>
      <c r="M344" s="715">
        <v>0</v>
      </c>
      <c r="O344" s="716">
        <v>10.0375</v>
      </c>
      <c r="Q344" s="717">
        <f t="shared" si="76"/>
        <v>80300</v>
      </c>
      <c r="S344" s="718">
        <v>0</v>
      </c>
      <c r="U344" s="718">
        <f t="shared" si="77"/>
        <v>0</v>
      </c>
      <c r="W344" s="708">
        <f t="shared" si="78"/>
        <v>80300</v>
      </c>
      <c r="Y344" s="699">
        <v>1.4E-3</v>
      </c>
      <c r="AA344" s="663">
        <f t="shared" si="79"/>
        <v>0</v>
      </c>
      <c r="AC344" s="673" t="s">
        <v>912</v>
      </c>
    </row>
    <row r="345" spans="1:31">
      <c r="A345" s="673">
        <v>296</v>
      </c>
      <c r="C345" s="713" t="s">
        <v>928</v>
      </c>
      <c r="E345" s="673" t="s">
        <v>912</v>
      </c>
      <c r="G345" s="673" t="s">
        <v>913</v>
      </c>
      <c r="I345" s="714" t="s">
        <v>930</v>
      </c>
      <c r="K345" s="707">
        <v>16500</v>
      </c>
      <c r="M345" s="715">
        <v>0</v>
      </c>
      <c r="O345" s="716">
        <v>10.0375</v>
      </c>
      <c r="Q345" s="717">
        <f t="shared" si="76"/>
        <v>165618.75</v>
      </c>
      <c r="S345" s="718">
        <v>0</v>
      </c>
      <c r="U345" s="718">
        <f t="shared" si="77"/>
        <v>0</v>
      </c>
      <c r="W345" s="708">
        <f t="shared" si="78"/>
        <v>165618.75</v>
      </c>
      <c r="Y345" s="699">
        <v>1.4E-3</v>
      </c>
      <c r="AA345" s="663">
        <f t="shared" si="79"/>
        <v>0</v>
      </c>
      <c r="AC345" s="673" t="s">
        <v>912</v>
      </c>
    </row>
    <row r="346" spans="1:31">
      <c r="A346" s="673">
        <v>297</v>
      </c>
      <c r="C346" s="713" t="s">
        <v>911</v>
      </c>
      <c r="E346" s="673" t="s">
        <v>912</v>
      </c>
      <c r="G346" s="673" t="s">
        <v>913</v>
      </c>
      <c r="I346" s="714" t="s">
        <v>931</v>
      </c>
      <c r="K346" s="707">
        <v>5722</v>
      </c>
      <c r="M346" s="719">
        <v>171660</v>
      </c>
      <c r="O346" s="716">
        <v>10.0375</v>
      </c>
      <c r="Q346" s="717">
        <f t="shared" si="76"/>
        <v>57434.574999999997</v>
      </c>
      <c r="S346" s="718">
        <v>0</v>
      </c>
      <c r="U346" s="718">
        <f t="shared" si="77"/>
        <v>0</v>
      </c>
      <c r="W346" s="708">
        <f t="shared" si="78"/>
        <v>57434.574999999997</v>
      </c>
      <c r="Y346" s="699">
        <v>1.4E-3</v>
      </c>
      <c r="AA346" s="663">
        <f t="shared" si="79"/>
        <v>240.32399999999998</v>
      </c>
      <c r="AC346" s="673" t="s">
        <v>912</v>
      </c>
    </row>
    <row r="347" spans="1:31">
      <c r="A347" s="673">
        <v>298</v>
      </c>
      <c r="C347" s="713" t="s">
        <v>932</v>
      </c>
      <c r="E347" s="673" t="s">
        <v>912</v>
      </c>
      <c r="G347" s="673" t="s">
        <v>913</v>
      </c>
      <c r="I347" s="714" t="s">
        <v>933</v>
      </c>
      <c r="K347" s="707">
        <v>760</v>
      </c>
      <c r="M347" s="719">
        <v>22789</v>
      </c>
      <c r="O347" s="716">
        <v>10.0375</v>
      </c>
      <c r="Q347" s="717">
        <f t="shared" si="76"/>
        <v>7628.5</v>
      </c>
      <c r="S347" s="718">
        <v>0</v>
      </c>
      <c r="U347" s="718">
        <f t="shared" si="77"/>
        <v>0</v>
      </c>
      <c r="W347" s="708">
        <f t="shared" si="78"/>
        <v>7628.5</v>
      </c>
      <c r="Y347" s="699">
        <v>1.4E-3</v>
      </c>
      <c r="AA347" s="663">
        <f t="shared" si="79"/>
        <v>31.904599999999999</v>
      </c>
      <c r="AC347" s="673" t="s">
        <v>912</v>
      </c>
      <c r="AE347" s="705"/>
    </row>
    <row r="348" spans="1:31">
      <c r="A348" s="673">
        <v>299</v>
      </c>
      <c r="C348" s="713" t="s">
        <v>922</v>
      </c>
      <c r="E348" s="673" t="s">
        <v>912</v>
      </c>
      <c r="G348" s="673" t="s">
        <v>913</v>
      </c>
      <c r="I348" s="714" t="s">
        <v>934</v>
      </c>
      <c r="K348" s="707">
        <v>150</v>
      </c>
      <c r="M348" s="719">
        <v>1200</v>
      </c>
      <c r="O348" s="716">
        <v>10.0375</v>
      </c>
      <c r="Q348" s="717">
        <f t="shared" si="76"/>
        <v>1505.625</v>
      </c>
      <c r="S348" s="718">
        <v>0</v>
      </c>
      <c r="U348" s="718">
        <f t="shared" si="77"/>
        <v>0</v>
      </c>
      <c r="W348" s="708">
        <f t="shared" si="78"/>
        <v>1505.625</v>
      </c>
      <c r="Y348" s="699">
        <v>1.4E-3</v>
      </c>
      <c r="AA348" s="663">
        <f t="shared" si="79"/>
        <v>1.68</v>
      </c>
      <c r="AC348" s="673" t="s">
        <v>912</v>
      </c>
    </row>
    <row r="349" spans="1:31">
      <c r="A349" s="673">
        <v>300</v>
      </c>
      <c r="C349" s="713" t="s">
        <v>922</v>
      </c>
      <c r="E349" s="673" t="s">
        <v>912</v>
      </c>
      <c r="G349" s="673" t="s">
        <v>913</v>
      </c>
      <c r="I349" s="714" t="s">
        <v>935</v>
      </c>
      <c r="K349" s="707">
        <v>250</v>
      </c>
      <c r="M349" s="719">
        <v>450</v>
      </c>
      <c r="O349" s="716">
        <v>10.0375</v>
      </c>
      <c r="Q349" s="717">
        <f t="shared" si="76"/>
        <v>2509.375</v>
      </c>
      <c r="S349" s="718">
        <v>0</v>
      </c>
      <c r="U349" s="718">
        <f t="shared" si="77"/>
        <v>0</v>
      </c>
      <c r="W349" s="708">
        <f t="shared" si="78"/>
        <v>2509.375</v>
      </c>
      <c r="Y349" s="699">
        <v>1.4E-3</v>
      </c>
      <c r="AA349" s="663">
        <f t="shared" si="79"/>
        <v>0.63</v>
      </c>
      <c r="AC349" s="673" t="s">
        <v>912</v>
      </c>
    </row>
    <row r="350" spans="1:31">
      <c r="A350" s="673">
        <v>301</v>
      </c>
      <c r="C350" s="713" t="s">
        <v>922</v>
      </c>
      <c r="E350" s="673" t="s">
        <v>912</v>
      </c>
      <c r="G350" s="673" t="s">
        <v>913</v>
      </c>
      <c r="I350" s="714" t="s">
        <v>936</v>
      </c>
      <c r="K350" s="707">
        <v>400</v>
      </c>
      <c r="M350" s="719">
        <v>6000</v>
      </c>
      <c r="O350" s="716">
        <v>10.0375</v>
      </c>
      <c r="Q350" s="717">
        <f t="shared" si="76"/>
        <v>4015</v>
      </c>
      <c r="S350" s="718">
        <v>0</v>
      </c>
      <c r="U350" s="718">
        <f t="shared" si="77"/>
        <v>0</v>
      </c>
      <c r="W350" s="708">
        <f t="shared" si="78"/>
        <v>4015</v>
      </c>
      <c r="Y350" s="699">
        <v>1.4E-3</v>
      </c>
      <c r="AA350" s="663">
        <f t="shared" si="79"/>
        <v>8.4</v>
      </c>
      <c r="AC350" s="673" t="s">
        <v>912</v>
      </c>
      <c r="AE350" s="708"/>
    </row>
    <row r="351" spans="1:31">
      <c r="A351" s="673">
        <v>302</v>
      </c>
      <c r="C351" s="713" t="s">
        <v>911</v>
      </c>
      <c r="E351" s="673" t="s">
        <v>912</v>
      </c>
      <c r="G351" s="673" t="s">
        <v>913</v>
      </c>
      <c r="I351" s="714" t="s">
        <v>937</v>
      </c>
      <c r="K351" s="707">
        <v>40000</v>
      </c>
      <c r="M351" s="719">
        <v>150000</v>
      </c>
      <c r="O351" s="716">
        <v>10.0375</v>
      </c>
      <c r="Q351" s="717">
        <f t="shared" si="76"/>
        <v>401500</v>
      </c>
      <c r="S351" s="718">
        <v>0</v>
      </c>
      <c r="U351" s="718">
        <f t="shared" si="77"/>
        <v>0</v>
      </c>
      <c r="W351" s="708">
        <f t="shared" si="78"/>
        <v>401500</v>
      </c>
      <c r="Y351" s="699">
        <v>1.4E-3</v>
      </c>
      <c r="AA351" s="663">
        <f t="shared" si="79"/>
        <v>210</v>
      </c>
      <c r="AC351" s="673" t="s">
        <v>912</v>
      </c>
    </row>
    <row r="352" spans="1:31">
      <c r="A352" s="673">
        <v>303</v>
      </c>
      <c r="C352" s="713" t="s">
        <v>990</v>
      </c>
      <c r="E352" s="673" t="s">
        <v>912</v>
      </c>
      <c r="G352" s="673" t="s">
        <v>913</v>
      </c>
      <c r="I352" s="714" t="s">
        <v>939</v>
      </c>
      <c r="K352" s="707">
        <v>800</v>
      </c>
      <c r="M352" s="719">
        <v>24000</v>
      </c>
      <c r="O352" s="716">
        <v>10.0375</v>
      </c>
      <c r="Q352" s="717">
        <f t="shared" si="76"/>
        <v>8030</v>
      </c>
      <c r="S352" s="718">
        <v>0</v>
      </c>
      <c r="U352" s="718">
        <f t="shared" si="77"/>
        <v>0</v>
      </c>
      <c r="W352" s="708">
        <f t="shared" si="78"/>
        <v>8030</v>
      </c>
      <c r="Y352" s="699">
        <v>1.4E-3</v>
      </c>
      <c r="AA352" s="663">
        <f t="shared" si="79"/>
        <v>33.6</v>
      </c>
      <c r="AC352" s="673" t="s">
        <v>912</v>
      </c>
      <c r="AE352" s="708"/>
    </row>
    <row r="353" spans="1:31">
      <c r="A353" s="673">
        <v>304</v>
      </c>
      <c r="C353" s="713" t="s">
        <v>990</v>
      </c>
      <c r="E353" s="673" t="s">
        <v>912</v>
      </c>
      <c r="G353" s="673" t="s">
        <v>913</v>
      </c>
      <c r="I353" s="714" t="s">
        <v>940</v>
      </c>
      <c r="K353" s="707">
        <v>200</v>
      </c>
      <c r="M353" s="719">
        <v>6000</v>
      </c>
      <c r="O353" s="716">
        <v>10.0375</v>
      </c>
      <c r="Q353" s="717">
        <f t="shared" si="76"/>
        <v>2007.5</v>
      </c>
      <c r="S353" s="718">
        <v>0</v>
      </c>
      <c r="U353" s="718">
        <f t="shared" si="77"/>
        <v>0</v>
      </c>
      <c r="W353" s="708">
        <f t="shared" si="78"/>
        <v>2007.5</v>
      </c>
      <c r="Y353" s="699">
        <v>1.4E-3</v>
      </c>
      <c r="AA353" s="663">
        <f t="shared" si="79"/>
        <v>8.4</v>
      </c>
      <c r="AC353" s="673" t="s">
        <v>912</v>
      </c>
    </row>
    <row r="354" spans="1:31">
      <c r="A354" s="673">
        <v>305</v>
      </c>
      <c r="C354" s="713" t="s">
        <v>990</v>
      </c>
      <c r="E354" s="673" t="s">
        <v>912</v>
      </c>
      <c r="G354" s="673" t="s">
        <v>913</v>
      </c>
      <c r="I354" s="714" t="s">
        <v>941</v>
      </c>
      <c r="K354" s="707">
        <v>400</v>
      </c>
      <c r="M354" s="719">
        <v>9000</v>
      </c>
      <c r="O354" s="716">
        <v>10.0375</v>
      </c>
      <c r="Q354" s="717">
        <f t="shared" si="76"/>
        <v>4015</v>
      </c>
      <c r="S354" s="718">
        <v>0</v>
      </c>
      <c r="U354" s="718">
        <f t="shared" si="77"/>
        <v>0</v>
      </c>
      <c r="W354" s="708">
        <f t="shared" si="78"/>
        <v>4015</v>
      </c>
      <c r="Y354" s="699">
        <v>1.4E-3</v>
      </c>
      <c r="AA354" s="663">
        <f t="shared" si="79"/>
        <v>12.6</v>
      </c>
      <c r="AC354" s="673" t="s">
        <v>912</v>
      </c>
    </row>
    <row r="355" spans="1:31">
      <c r="A355" s="673">
        <v>306</v>
      </c>
      <c r="C355" s="700" t="s">
        <v>960</v>
      </c>
      <c r="K355" s="701">
        <f>SUM(K335:K354)</f>
        <v>203983</v>
      </c>
      <c r="M355" s="702">
        <f>SUM(M335:M354)</f>
        <v>2867565</v>
      </c>
      <c r="Q355" s="703">
        <f>SUM(Q335:Q354)</f>
        <v>2047479.3625</v>
      </c>
      <c r="U355" s="703">
        <f>SUM(U335:U354)</f>
        <v>0</v>
      </c>
      <c r="W355" s="703">
        <f>SUM(W335:W354)</f>
        <v>2047479.3625</v>
      </c>
      <c r="AA355" s="703">
        <f>SUM(AA335:AA354)</f>
        <v>4014.5909999999994</v>
      </c>
      <c r="AE355" s="705"/>
    </row>
    <row r="356" spans="1:31">
      <c r="C356" s="700" t="s">
        <v>961</v>
      </c>
    </row>
    <row r="357" spans="1:31" s="682" customFormat="1">
      <c r="A357" s="681">
        <v>307</v>
      </c>
      <c r="C357" s="729" t="s">
        <v>958</v>
      </c>
      <c r="E357" s="681" t="s">
        <v>912</v>
      </c>
      <c r="F357" s="681"/>
      <c r="G357" s="681" t="s">
        <v>962</v>
      </c>
      <c r="I357" s="730" t="s">
        <v>996</v>
      </c>
      <c r="K357" s="731">
        <v>0</v>
      </c>
      <c r="M357" s="748">
        <v>6690</v>
      </c>
      <c r="O357" s="732">
        <v>10.0375</v>
      </c>
      <c r="Q357" s="749">
        <f>K357*O357</f>
        <v>0</v>
      </c>
      <c r="S357" s="745">
        <v>0</v>
      </c>
      <c r="U357" s="745">
        <f>M357*S357</f>
        <v>0</v>
      </c>
      <c r="W357" s="750">
        <f>Q357+U357</f>
        <v>0</v>
      </c>
      <c r="Y357" s="699">
        <v>1.4E-3</v>
      </c>
      <c r="AA357" s="663">
        <f t="shared" ref="AA357:AA363" si="80">Y357*M357</f>
        <v>9.3659999999999997</v>
      </c>
      <c r="AC357" s="673" t="s">
        <v>912</v>
      </c>
    </row>
    <row r="358" spans="1:31">
      <c r="A358" s="673">
        <v>308</v>
      </c>
      <c r="C358" s="729" t="s">
        <v>932</v>
      </c>
      <c r="D358" s="682"/>
      <c r="E358" s="681" t="s">
        <v>912</v>
      </c>
      <c r="F358" s="681"/>
      <c r="G358" s="681" t="s">
        <v>962</v>
      </c>
      <c r="H358" s="682"/>
      <c r="I358" s="730" t="s">
        <v>965</v>
      </c>
      <c r="J358" s="682"/>
      <c r="K358" s="731">
        <v>0</v>
      </c>
      <c r="M358" s="715">
        <v>4500</v>
      </c>
      <c r="O358" s="716">
        <v>10.0375</v>
      </c>
      <c r="Q358" s="717">
        <f t="shared" ref="Q358:Q363" si="81">K358*O358</f>
        <v>0</v>
      </c>
      <c r="S358" s="718">
        <v>0</v>
      </c>
      <c r="U358" s="718">
        <f t="shared" ref="U358:U363" si="82">M358*S358</f>
        <v>0</v>
      </c>
      <c r="W358" s="708">
        <f t="shared" ref="W358:W363" si="83">Q358+U358</f>
        <v>0</v>
      </c>
      <c r="Y358" s="699">
        <v>1.4E-3</v>
      </c>
      <c r="AA358" s="663">
        <f t="shared" si="80"/>
        <v>6.3</v>
      </c>
      <c r="AC358" s="673" t="s">
        <v>912</v>
      </c>
    </row>
    <row r="359" spans="1:31">
      <c r="A359" s="673">
        <v>309</v>
      </c>
      <c r="C359" s="729" t="s">
        <v>991</v>
      </c>
      <c r="D359" s="682"/>
      <c r="E359" s="681" t="s">
        <v>912</v>
      </c>
      <c r="F359" s="681"/>
      <c r="G359" s="681" t="s">
        <v>962</v>
      </c>
      <c r="H359" s="682"/>
      <c r="I359" s="730" t="s">
        <v>967</v>
      </c>
      <c r="J359" s="682"/>
      <c r="K359" s="731">
        <v>0</v>
      </c>
      <c r="M359" s="715">
        <v>243832</v>
      </c>
      <c r="O359" s="716">
        <v>10.0375</v>
      </c>
      <c r="Q359" s="717">
        <f t="shared" si="81"/>
        <v>0</v>
      </c>
      <c r="S359" s="718">
        <v>0</v>
      </c>
      <c r="U359" s="718">
        <f t="shared" si="82"/>
        <v>0</v>
      </c>
      <c r="W359" s="708">
        <f t="shared" si="83"/>
        <v>0</v>
      </c>
      <c r="Y359" s="699">
        <v>1.4E-3</v>
      </c>
      <c r="AA359" s="663">
        <f t="shared" si="80"/>
        <v>341.3648</v>
      </c>
      <c r="AC359" s="673" t="s">
        <v>912</v>
      </c>
      <c r="AE359" s="708"/>
    </row>
    <row r="360" spans="1:31">
      <c r="A360" s="673">
        <v>310</v>
      </c>
      <c r="C360" s="729" t="s">
        <v>991</v>
      </c>
      <c r="D360" s="682"/>
      <c r="E360" s="681" t="s">
        <v>912</v>
      </c>
      <c r="F360" s="681"/>
      <c r="G360" s="681" t="s">
        <v>962</v>
      </c>
      <c r="H360" s="682"/>
      <c r="I360" s="730" t="s">
        <v>968</v>
      </c>
      <c r="J360" s="682"/>
      <c r="K360" s="731">
        <v>0</v>
      </c>
      <c r="M360" s="719">
        <v>4800</v>
      </c>
      <c r="O360" s="745">
        <v>0</v>
      </c>
      <c r="Q360" s="717">
        <f t="shared" si="81"/>
        <v>0</v>
      </c>
      <c r="S360" s="718">
        <v>0</v>
      </c>
      <c r="U360" s="718">
        <f t="shared" si="82"/>
        <v>0</v>
      </c>
      <c r="W360" s="708">
        <f t="shared" si="83"/>
        <v>0</v>
      </c>
      <c r="Y360" s="699">
        <v>1.4E-3</v>
      </c>
      <c r="AA360" s="663">
        <f t="shared" si="80"/>
        <v>6.72</v>
      </c>
      <c r="AC360" s="673" t="s">
        <v>912</v>
      </c>
      <c r="AE360" s="708"/>
    </row>
    <row r="361" spans="1:31">
      <c r="A361" s="673">
        <v>311</v>
      </c>
      <c r="C361" s="729" t="s">
        <v>972</v>
      </c>
      <c r="D361" s="682"/>
      <c r="E361" s="681" t="s">
        <v>912</v>
      </c>
      <c r="F361" s="681"/>
      <c r="G361" s="681" t="s">
        <v>970</v>
      </c>
      <c r="H361" s="682"/>
      <c r="I361" s="730" t="s">
        <v>973</v>
      </c>
      <c r="J361" s="682"/>
      <c r="K361" s="731">
        <v>150</v>
      </c>
      <c r="M361" s="715">
        <v>0</v>
      </c>
      <c r="O361" s="716">
        <v>10.0375</v>
      </c>
      <c r="Q361" s="717">
        <f t="shared" si="81"/>
        <v>1505.625</v>
      </c>
      <c r="S361" s="718">
        <v>0</v>
      </c>
      <c r="U361" s="718">
        <f t="shared" si="82"/>
        <v>0</v>
      </c>
      <c r="W361" s="708">
        <f t="shared" si="83"/>
        <v>1505.625</v>
      </c>
      <c r="Y361" s="699">
        <v>1.4E-3</v>
      </c>
      <c r="AA361" s="663">
        <f t="shared" si="80"/>
        <v>0</v>
      </c>
      <c r="AC361" s="673" t="s">
        <v>912</v>
      </c>
      <c r="AE361" s="705"/>
    </row>
    <row r="362" spans="1:31">
      <c r="A362" s="673">
        <v>312</v>
      </c>
      <c r="C362" s="729" t="s">
        <v>974</v>
      </c>
      <c r="D362" s="682"/>
      <c r="E362" s="681" t="s">
        <v>912</v>
      </c>
      <c r="F362" s="681"/>
      <c r="G362" s="681" t="s">
        <v>970</v>
      </c>
      <c r="H362" s="682"/>
      <c r="I362" s="730" t="s">
        <v>975</v>
      </c>
      <c r="J362" s="682"/>
      <c r="K362" s="731">
        <v>20000</v>
      </c>
      <c r="M362" s="715">
        <v>0</v>
      </c>
      <c r="O362" s="716">
        <v>10.0375</v>
      </c>
      <c r="Q362" s="717">
        <f t="shared" si="81"/>
        <v>200750</v>
      </c>
      <c r="S362" s="718">
        <v>0</v>
      </c>
      <c r="U362" s="718">
        <f t="shared" si="82"/>
        <v>0</v>
      </c>
      <c r="W362" s="708">
        <f t="shared" si="83"/>
        <v>200750</v>
      </c>
      <c r="Y362" s="699">
        <v>1.4E-3</v>
      </c>
      <c r="AA362" s="663">
        <f t="shared" si="80"/>
        <v>0</v>
      </c>
      <c r="AC362" s="673" t="s">
        <v>912</v>
      </c>
      <c r="AE362" s="705"/>
    </row>
    <row r="363" spans="1:31">
      <c r="A363" s="673">
        <v>313</v>
      </c>
      <c r="C363" s="729" t="s">
        <v>992</v>
      </c>
      <c r="D363" s="682"/>
      <c r="E363" s="681" t="s">
        <v>912</v>
      </c>
      <c r="F363" s="681"/>
      <c r="G363" s="681" t="s">
        <v>970</v>
      </c>
      <c r="H363" s="682"/>
      <c r="I363" s="730" t="s">
        <v>963</v>
      </c>
      <c r="J363" s="682"/>
      <c r="K363" s="731">
        <v>500</v>
      </c>
      <c r="M363" s="719">
        <v>5623</v>
      </c>
      <c r="O363" s="716">
        <v>10.0375</v>
      </c>
      <c r="Q363" s="717">
        <f t="shared" si="81"/>
        <v>5018.75</v>
      </c>
      <c r="S363" s="718">
        <v>0</v>
      </c>
      <c r="U363" s="718">
        <f t="shared" si="82"/>
        <v>0</v>
      </c>
      <c r="W363" s="708">
        <f t="shared" si="83"/>
        <v>5018.75</v>
      </c>
      <c r="Y363" s="699">
        <v>1.4E-3</v>
      </c>
      <c r="AA363" s="663">
        <f t="shared" si="80"/>
        <v>7.8722000000000003</v>
      </c>
      <c r="AC363" s="673" t="s">
        <v>912</v>
      </c>
    </row>
    <row r="364" spans="1:31">
      <c r="A364" s="673">
        <v>314</v>
      </c>
      <c r="C364" s="683" t="s">
        <v>976</v>
      </c>
      <c r="D364" s="682"/>
      <c r="E364" s="681"/>
      <c r="F364" s="681"/>
      <c r="G364" s="681"/>
      <c r="H364" s="682"/>
      <c r="I364" s="681"/>
      <c r="J364" s="682"/>
      <c r="K364" s="743">
        <f>SUM(K357:K363)</f>
        <v>20650</v>
      </c>
      <c r="M364" s="702">
        <f>SUM(M357:M363)</f>
        <v>265445</v>
      </c>
      <c r="Q364" s="703">
        <f>SUM(Q357:Q363)</f>
        <v>207274.375</v>
      </c>
      <c r="U364" s="703">
        <f>SUM(U358:U363)</f>
        <v>0</v>
      </c>
      <c r="W364" s="703">
        <f>SUM(W357:W363)</f>
        <v>207274.375</v>
      </c>
      <c r="AA364" s="703">
        <f>SUM(AA357:AA363)</f>
        <v>371.62300000000005</v>
      </c>
    </row>
    <row r="365" spans="1:31">
      <c r="C365" s="683" t="s">
        <v>877</v>
      </c>
      <c r="AA365" s="751"/>
    </row>
    <row r="366" spans="1:31">
      <c r="A366" s="673">
        <v>315</v>
      </c>
      <c r="C366" s="713" t="s">
        <v>932</v>
      </c>
      <c r="E366" s="673" t="s">
        <v>912</v>
      </c>
      <c r="G366" s="681" t="s">
        <v>977</v>
      </c>
      <c r="I366" s="714" t="s">
        <v>978</v>
      </c>
      <c r="K366" s="676">
        <v>0</v>
      </c>
      <c r="M366" s="719">
        <v>32608</v>
      </c>
      <c r="O366" s="732">
        <v>0</v>
      </c>
      <c r="Q366" s="717">
        <f t="shared" ref="Q366" si="84">K366*O366</f>
        <v>0</v>
      </c>
      <c r="S366" s="737">
        <v>0.33</v>
      </c>
      <c r="U366" s="718">
        <f t="shared" ref="U366" si="85">M366*S366</f>
        <v>10760.640000000001</v>
      </c>
      <c r="W366" s="708">
        <f t="shared" ref="W366" si="86">Q366+U366</f>
        <v>10760.640000000001</v>
      </c>
      <c r="Y366" s="699">
        <v>1.4E-3</v>
      </c>
      <c r="AA366" s="696">
        <f>Y366*M366</f>
        <v>45.651200000000003</v>
      </c>
      <c r="AC366" s="673" t="s">
        <v>912</v>
      </c>
    </row>
    <row r="367" spans="1:31">
      <c r="A367" s="673">
        <v>316</v>
      </c>
      <c r="C367" s="683" t="s">
        <v>982</v>
      </c>
      <c r="K367" s="701">
        <f>SUM(K366)</f>
        <v>0</v>
      </c>
      <c r="M367" s="702">
        <f>SUM(M366)</f>
        <v>32608</v>
      </c>
      <c r="Q367" s="703">
        <f>SUM(Q366)</f>
        <v>0</v>
      </c>
      <c r="U367" s="703">
        <f>SUM(U366)</f>
        <v>10760.640000000001</v>
      </c>
      <c r="W367" s="703">
        <f>SUM(W366)</f>
        <v>10760.640000000001</v>
      </c>
      <c r="AA367" s="703">
        <f>SUM(AA366)</f>
        <v>45.651200000000003</v>
      </c>
    </row>
    <row r="369" spans="1:29">
      <c r="C369" s="677" t="s">
        <v>997</v>
      </c>
      <c r="D369" s="677"/>
      <c r="E369" s="678"/>
      <c r="F369" s="678"/>
      <c r="G369" s="678"/>
      <c r="H369" s="677"/>
      <c r="I369" s="678"/>
      <c r="J369" s="677"/>
      <c r="K369" s="679"/>
      <c r="L369" s="677"/>
      <c r="M369" s="680"/>
      <c r="N369" s="677"/>
      <c r="O369" s="677"/>
      <c r="P369" s="677"/>
      <c r="Q369" s="677"/>
      <c r="R369" s="677"/>
      <c r="S369" s="677"/>
      <c r="T369" s="677"/>
      <c r="U369" s="677"/>
      <c r="V369" s="677"/>
      <c r="W369" s="677"/>
      <c r="X369" s="677"/>
      <c r="Y369" s="677"/>
      <c r="Z369" s="677"/>
      <c r="AA369" s="677"/>
      <c r="AB369" s="677"/>
      <c r="AC369" s="677"/>
    </row>
    <row r="370" spans="1:29">
      <c r="C370" s="683" t="s">
        <v>876</v>
      </c>
    </row>
    <row r="371" spans="1:29">
      <c r="A371" s="673">
        <v>317</v>
      </c>
      <c r="C371" s="713" t="s">
        <v>911</v>
      </c>
      <c r="E371" s="673" t="s">
        <v>912</v>
      </c>
      <c r="G371" s="673" t="s">
        <v>913</v>
      </c>
      <c r="I371" s="714" t="s">
        <v>914</v>
      </c>
      <c r="K371" s="707">
        <v>105750</v>
      </c>
      <c r="M371" s="715">
        <v>1182633</v>
      </c>
      <c r="O371" s="716">
        <v>10.0375</v>
      </c>
      <c r="Q371" s="708">
        <f>K371*O371</f>
        <v>1061465.625</v>
      </c>
      <c r="S371" s="718">
        <v>0</v>
      </c>
      <c r="U371" s="718">
        <f>S371*M371</f>
        <v>0</v>
      </c>
      <c r="W371" s="708">
        <f>U371+Q371</f>
        <v>1061465.625</v>
      </c>
      <c r="Y371" s="699">
        <v>1.4E-3</v>
      </c>
      <c r="AA371" s="663">
        <f t="shared" ref="AA371:AA390" si="87">Y371*M371</f>
        <v>1655.6861999999999</v>
      </c>
      <c r="AC371" s="673" t="s">
        <v>912</v>
      </c>
    </row>
    <row r="372" spans="1:29">
      <c r="A372" s="673">
        <v>318</v>
      </c>
      <c r="C372" s="713" t="s">
        <v>915</v>
      </c>
      <c r="E372" s="673" t="s">
        <v>912</v>
      </c>
      <c r="G372" s="673" t="s">
        <v>913</v>
      </c>
      <c r="I372" s="714" t="s">
        <v>916</v>
      </c>
      <c r="K372" s="707">
        <v>200</v>
      </c>
      <c r="M372" s="719">
        <v>1388</v>
      </c>
      <c r="O372" s="716">
        <v>10.0375</v>
      </c>
      <c r="Q372" s="708">
        <f t="shared" ref="Q372:Q390" si="88">K372*O372</f>
        <v>2007.5</v>
      </c>
      <c r="S372" s="718">
        <v>0</v>
      </c>
      <c r="U372" s="718">
        <f t="shared" ref="U372:U390" si="89">S372*M372</f>
        <v>0</v>
      </c>
      <c r="W372" s="708">
        <f t="shared" ref="W372:W390" si="90">U372+Q372</f>
        <v>2007.5</v>
      </c>
      <c r="Y372" s="699">
        <v>1.4E-3</v>
      </c>
      <c r="AA372" s="663">
        <f t="shared" si="87"/>
        <v>1.9432</v>
      </c>
      <c r="AC372" s="673" t="s">
        <v>912</v>
      </c>
    </row>
    <row r="373" spans="1:29">
      <c r="A373" s="673">
        <v>319</v>
      </c>
      <c r="C373" s="713" t="s">
        <v>917</v>
      </c>
      <c r="E373" s="673" t="s">
        <v>912</v>
      </c>
      <c r="G373" s="673" t="s">
        <v>913</v>
      </c>
      <c r="I373" s="714" t="s">
        <v>918</v>
      </c>
      <c r="K373" s="707">
        <v>1200</v>
      </c>
      <c r="M373" s="719">
        <v>1931</v>
      </c>
      <c r="O373" s="716">
        <v>10.0375</v>
      </c>
      <c r="Q373" s="708">
        <f t="shared" si="88"/>
        <v>12045</v>
      </c>
      <c r="S373" s="718">
        <v>0</v>
      </c>
      <c r="U373" s="718">
        <f t="shared" si="89"/>
        <v>0</v>
      </c>
      <c r="W373" s="708">
        <f t="shared" si="90"/>
        <v>12045</v>
      </c>
      <c r="Y373" s="699">
        <v>1.4E-3</v>
      </c>
      <c r="AA373" s="663">
        <f t="shared" si="87"/>
        <v>2.7033999999999998</v>
      </c>
      <c r="AC373" s="673" t="s">
        <v>912</v>
      </c>
    </row>
    <row r="374" spans="1:29">
      <c r="A374" s="673">
        <v>320</v>
      </c>
      <c r="C374" s="713" t="s">
        <v>919</v>
      </c>
      <c r="E374" s="673" t="s">
        <v>912</v>
      </c>
      <c r="G374" s="673" t="s">
        <v>913</v>
      </c>
      <c r="I374" s="714" t="s">
        <v>920</v>
      </c>
      <c r="K374" s="707">
        <v>1550</v>
      </c>
      <c r="M374" s="715">
        <v>0</v>
      </c>
      <c r="O374" s="716">
        <v>10.0375</v>
      </c>
      <c r="Q374" s="708">
        <f t="shared" si="88"/>
        <v>15558.125</v>
      </c>
      <c r="S374" s="718">
        <v>0</v>
      </c>
      <c r="U374" s="718">
        <f t="shared" si="89"/>
        <v>0</v>
      </c>
      <c r="W374" s="708">
        <f t="shared" si="90"/>
        <v>15558.125</v>
      </c>
      <c r="Y374" s="699">
        <v>1.4E-3</v>
      </c>
      <c r="AA374" s="663">
        <f t="shared" si="87"/>
        <v>0</v>
      </c>
      <c r="AC374" s="673" t="s">
        <v>912</v>
      </c>
    </row>
    <row r="375" spans="1:29">
      <c r="A375" s="673">
        <v>321</v>
      </c>
      <c r="C375" s="713" t="s">
        <v>911</v>
      </c>
      <c r="E375" s="673" t="s">
        <v>912</v>
      </c>
      <c r="G375" s="673" t="s">
        <v>913</v>
      </c>
      <c r="I375" s="714" t="s">
        <v>921</v>
      </c>
      <c r="K375" s="707">
        <v>10000</v>
      </c>
      <c r="M375" s="719">
        <v>80000</v>
      </c>
      <c r="O375" s="716">
        <v>10.0375</v>
      </c>
      <c r="Q375" s="708">
        <f t="shared" si="88"/>
        <v>100375</v>
      </c>
      <c r="S375" s="718">
        <v>0</v>
      </c>
      <c r="U375" s="718">
        <f t="shared" si="89"/>
        <v>0</v>
      </c>
      <c r="W375" s="708">
        <f t="shared" si="90"/>
        <v>100375</v>
      </c>
      <c r="Y375" s="699">
        <v>1.4E-3</v>
      </c>
      <c r="AA375" s="663">
        <f t="shared" si="87"/>
        <v>112</v>
      </c>
      <c r="AC375" s="673" t="s">
        <v>912</v>
      </c>
    </row>
    <row r="376" spans="1:29">
      <c r="A376" s="673">
        <v>322</v>
      </c>
      <c r="C376" s="713" t="s">
        <v>922</v>
      </c>
      <c r="E376" s="673" t="s">
        <v>912</v>
      </c>
      <c r="G376" s="673" t="s">
        <v>913</v>
      </c>
      <c r="I376" s="714" t="s">
        <v>923</v>
      </c>
      <c r="K376" s="707">
        <v>200</v>
      </c>
      <c r="M376" s="715">
        <v>0</v>
      </c>
      <c r="O376" s="716">
        <v>10.0375</v>
      </c>
      <c r="Q376" s="708">
        <f t="shared" si="88"/>
        <v>2007.5</v>
      </c>
      <c r="S376" s="718">
        <v>0</v>
      </c>
      <c r="U376" s="718">
        <f t="shared" si="89"/>
        <v>0</v>
      </c>
      <c r="W376" s="708">
        <f t="shared" si="90"/>
        <v>2007.5</v>
      </c>
      <c r="Y376" s="699">
        <v>1.4E-3</v>
      </c>
      <c r="AA376" s="663">
        <f t="shared" si="87"/>
        <v>0</v>
      </c>
      <c r="AC376" s="673" t="s">
        <v>912</v>
      </c>
    </row>
    <row r="377" spans="1:29">
      <c r="A377" s="673">
        <v>323</v>
      </c>
      <c r="C377" s="713" t="s">
        <v>989</v>
      </c>
      <c r="E377" s="673" t="s">
        <v>912</v>
      </c>
      <c r="G377" s="673" t="s">
        <v>913</v>
      </c>
      <c r="I377" s="714" t="s">
        <v>925</v>
      </c>
      <c r="K377" s="707">
        <v>550</v>
      </c>
      <c r="M377" s="719">
        <v>12400</v>
      </c>
      <c r="O377" s="716">
        <v>10.0375</v>
      </c>
      <c r="Q377" s="708">
        <f t="shared" si="88"/>
        <v>5520.625</v>
      </c>
      <c r="S377" s="718">
        <v>0</v>
      </c>
      <c r="U377" s="718">
        <f t="shared" si="89"/>
        <v>0</v>
      </c>
      <c r="W377" s="708">
        <f t="shared" si="90"/>
        <v>5520.625</v>
      </c>
      <c r="Y377" s="699">
        <v>1.4E-3</v>
      </c>
      <c r="AA377" s="663">
        <f t="shared" si="87"/>
        <v>17.36</v>
      </c>
      <c r="AC377" s="673" t="s">
        <v>912</v>
      </c>
    </row>
    <row r="378" spans="1:29">
      <c r="A378" s="673">
        <v>324</v>
      </c>
      <c r="C378" s="713" t="s">
        <v>911</v>
      </c>
      <c r="E378" s="673" t="s">
        <v>912</v>
      </c>
      <c r="G378" s="673" t="s">
        <v>913</v>
      </c>
      <c r="I378" s="714" t="s">
        <v>926</v>
      </c>
      <c r="K378" s="707">
        <v>5661</v>
      </c>
      <c r="M378" s="719">
        <v>45288</v>
      </c>
      <c r="O378" s="716">
        <v>10.0375</v>
      </c>
      <c r="Q378" s="708">
        <f t="shared" si="88"/>
        <v>56822.287499999999</v>
      </c>
      <c r="S378" s="718">
        <v>0</v>
      </c>
      <c r="U378" s="718">
        <f t="shared" si="89"/>
        <v>0</v>
      </c>
      <c r="W378" s="708">
        <f t="shared" si="90"/>
        <v>56822.287499999999</v>
      </c>
      <c r="Y378" s="699">
        <v>1.4E-3</v>
      </c>
      <c r="AA378" s="663">
        <f t="shared" si="87"/>
        <v>63.403199999999998</v>
      </c>
      <c r="AC378" s="673" t="s">
        <v>912</v>
      </c>
    </row>
    <row r="379" spans="1:29">
      <c r="A379" s="673">
        <v>325</v>
      </c>
      <c r="C379" s="713" t="s">
        <v>911</v>
      </c>
      <c r="E379" s="673" t="s">
        <v>912</v>
      </c>
      <c r="G379" s="673" t="s">
        <v>913</v>
      </c>
      <c r="I379" s="714" t="s">
        <v>927</v>
      </c>
      <c r="K379" s="707">
        <v>5690</v>
      </c>
      <c r="M379" s="719">
        <v>45520</v>
      </c>
      <c r="O379" s="716">
        <v>10.0375</v>
      </c>
      <c r="Q379" s="708">
        <f t="shared" si="88"/>
        <v>57113.375</v>
      </c>
      <c r="S379" s="718">
        <v>0</v>
      </c>
      <c r="U379" s="718">
        <f t="shared" si="89"/>
        <v>0</v>
      </c>
      <c r="W379" s="708">
        <f t="shared" si="90"/>
        <v>57113.375</v>
      </c>
      <c r="Y379" s="699">
        <v>1.4E-3</v>
      </c>
      <c r="AA379" s="663">
        <f t="shared" si="87"/>
        <v>63.728000000000002</v>
      </c>
      <c r="AC379" s="673" t="s">
        <v>912</v>
      </c>
    </row>
    <row r="380" spans="1:29">
      <c r="A380" s="673">
        <v>326</v>
      </c>
      <c r="C380" s="713" t="s">
        <v>928</v>
      </c>
      <c r="E380" s="673" t="s">
        <v>912</v>
      </c>
      <c r="G380" s="673" t="s">
        <v>913</v>
      </c>
      <c r="I380" s="714" t="s">
        <v>929</v>
      </c>
      <c r="K380" s="707">
        <v>8000</v>
      </c>
      <c r="M380" s="715">
        <v>0</v>
      </c>
      <c r="O380" s="716">
        <v>10.0375</v>
      </c>
      <c r="Q380" s="708">
        <f t="shared" si="88"/>
        <v>80300</v>
      </c>
      <c r="S380" s="718">
        <v>0</v>
      </c>
      <c r="U380" s="718">
        <f t="shared" si="89"/>
        <v>0</v>
      </c>
      <c r="W380" s="708">
        <f t="shared" si="90"/>
        <v>80300</v>
      </c>
      <c r="Y380" s="699">
        <v>1.4E-3</v>
      </c>
      <c r="AA380" s="663">
        <f t="shared" si="87"/>
        <v>0</v>
      </c>
      <c r="AC380" s="673" t="s">
        <v>912</v>
      </c>
    </row>
    <row r="381" spans="1:29">
      <c r="A381" s="673">
        <v>327</v>
      </c>
      <c r="C381" s="713" t="s">
        <v>928</v>
      </c>
      <c r="E381" s="673" t="s">
        <v>912</v>
      </c>
      <c r="G381" s="673" t="s">
        <v>913</v>
      </c>
      <c r="I381" s="714" t="s">
        <v>930</v>
      </c>
      <c r="K381" s="707">
        <v>16500</v>
      </c>
      <c r="M381" s="715">
        <v>0</v>
      </c>
      <c r="O381" s="716">
        <v>10.0375</v>
      </c>
      <c r="Q381" s="708">
        <f t="shared" si="88"/>
        <v>165618.75</v>
      </c>
      <c r="S381" s="718">
        <v>0</v>
      </c>
      <c r="U381" s="718">
        <f t="shared" si="89"/>
        <v>0</v>
      </c>
      <c r="W381" s="708">
        <f t="shared" si="90"/>
        <v>165618.75</v>
      </c>
      <c r="Y381" s="699">
        <v>1.4E-3</v>
      </c>
      <c r="AA381" s="663">
        <f t="shared" si="87"/>
        <v>0</v>
      </c>
      <c r="AC381" s="673" t="s">
        <v>912</v>
      </c>
    </row>
    <row r="382" spans="1:29">
      <c r="A382" s="673">
        <v>328</v>
      </c>
      <c r="C382" s="713" t="s">
        <v>911</v>
      </c>
      <c r="E382" s="673" t="s">
        <v>912</v>
      </c>
      <c r="G382" s="673" t="s">
        <v>913</v>
      </c>
      <c r="I382" s="714" t="s">
        <v>931</v>
      </c>
      <c r="K382" s="707">
        <v>5722</v>
      </c>
      <c r="M382" s="719">
        <v>45776</v>
      </c>
      <c r="O382" s="716">
        <v>10.0375</v>
      </c>
      <c r="Q382" s="708">
        <f t="shared" si="88"/>
        <v>57434.574999999997</v>
      </c>
      <c r="S382" s="718">
        <v>0</v>
      </c>
      <c r="U382" s="718">
        <f t="shared" si="89"/>
        <v>0</v>
      </c>
      <c r="W382" s="708">
        <f t="shared" si="90"/>
        <v>57434.574999999997</v>
      </c>
      <c r="Y382" s="699">
        <v>1.4E-3</v>
      </c>
      <c r="AA382" s="663">
        <f t="shared" si="87"/>
        <v>64.086399999999998</v>
      </c>
      <c r="AC382" s="673" t="s">
        <v>912</v>
      </c>
    </row>
    <row r="383" spans="1:29">
      <c r="A383" s="673">
        <v>329</v>
      </c>
      <c r="C383" s="713" t="s">
        <v>932</v>
      </c>
      <c r="E383" s="673" t="s">
        <v>912</v>
      </c>
      <c r="G383" s="673" t="s">
        <v>913</v>
      </c>
      <c r="I383" s="714" t="s">
        <v>933</v>
      </c>
      <c r="K383" s="707">
        <v>760</v>
      </c>
      <c r="M383" s="719">
        <v>23560</v>
      </c>
      <c r="O383" s="716">
        <v>10.0375</v>
      </c>
      <c r="Q383" s="708">
        <f t="shared" si="88"/>
        <v>7628.5</v>
      </c>
      <c r="S383" s="718">
        <v>0</v>
      </c>
      <c r="U383" s="718">
        <f t="shared" si="89"/>
        <v>0</v>
      </c>
      <c r="W383" s="708">
        <f t="shared" si="90"/>
        <v>7628.5</v>
      </c>
      <c r="Y383" s="699">
        <v>1.4E-3</v>
      </c>
      <c r="AA383" s="663">
        <f t="shared" si="87"/>
        <v>32.984000000000002</v>
      </c>
      <c r="AC383" s="673" t="s">
        <v>912</v>
      </c>
    </row>
    <row r="384" spans="1:29">
      <c r="A384" s="673">
        <v>330</v>
      </c>
      <c r="C384" s="713" t="s">
        <v>922</v>
      </c>
      <c r="E384" s="673" t="s">
        <v>912</v>
      </c>
      <c r="G384" s="673" t="s">
        <v>913</v>
      </c>
      <c r="I384" s="714" t="s">
        <v>934</v>
      </c>
      <c r="K384" s="707">
        <v>150</v>
      </c>
      <c r="M384" s="715">
        <v>0</v>
      </c>
      <c r="O384" s="716">
        <v>10.0375</v>
      </c>
      <c r="Q384" s="708">
        <f t="shared" si="88"/>
        <v>1505.625</v>
      </c>
      <c r="S384" s="718">
        <v>0</v>
      </c>
      <c r="U384" s="718">
        <f t="shared" si="89"/>
        <v>0</v>
      </c>
      <c r="W384" s="708">
        <f t="shared" si="90"/>
        <v>1505.625</v>
      </c>
      <c r="Y384" s="699">
        <v>1.4E-3</v>
      </c>
      <c r="AA384" s="663">
        <f t="shared" si="87"/>
        <v>0</v>
      </c>
      <c r="AC384" s="673" t="s">
        <v>912</v>
      </c>
    </row>
    <row r="385" spans="1:32">
      <c r="A385" s="673">
        <v>331</v>
      </c>
      <c r="C385" s="713" t="s">
        <v>922</v>
      </c>
      <c r="E385" s="673" t="s">
        <v>912</v>
      </c>
      <c r="G385" s="673" t="s">
        <v>913</v>
      </c>
      <c r="I385" s="714" t="s">
        <v>935</v>
      </c>
      <c r="K385" s="707">
        <v>250</v>
      </c>
      <c r="M385" s="715">
        <v>0</v>
      </c>
      <c r="O385" s="716">
        <v>10.0375</v>
      </c>
      <c r="Q385" s="708">
        <f t="shared" si="88"/>
        <v>2509.375</v>
      </c>
      <c r="S385" s="718">
        <v>0</v>
      </c>
      <c r="U385" s="718">
        <f t="shared" si="89"/>
        <v>0</v>
      </c>
      <c r="W385" s="708">
        <f t="shared" si="90"/>
        <v>2509.375</v>
      </c>
      <c r="Y385" s="699">
        <v>1.4E-3</v>
      </c>
      <c r="AA385" s="663">
        <f t="shared" si="87"/>
        <v>0</v>
      </c>
      <c r="AC385" s="673" t="s">
        <v>912</v>
      </c>
    </row>
    <row r="386" spans="1:32">
      <c r="A386" s="673">
        <v>332</v>
      </c>
      <c r="C386" s="713" t="s">
        <v>922</v>
      </c>
      <c r="E386" s="673" t="s">
        <v>912</v>
      </c>
      <c r="G386" s="673" t="s">
        <v>913</v>
      </c>
      <c r="I386" s="714" t="s">
        <v>936</v>
      </c>
      <c r="K386" s="707">
        <v>400</v>
      </c>
      <c r="M386" s="719">
        <v>10270</v>
      </c>
      <c r="O386" s="716">
        <v>10.0375</v>
      </c>
      <c r="Q386" s="708">
        <f t="shared" si="88"/>
        <v>4015</v>
      </c>
      <c r="S386" s="718">
        <v>0</v>
      </c>
      <c r="U386" s="718">
        <f t="shared" si="89"/>
        <v>0</v>
      </c>
      <c r="W386" s="708">
        <f t="shared" si="90"/>
        <v>4015</v>
      </c>
      <c r="Y386" s="699">
        <v>1.4E-3</v>
      </c>
      <c r="AA386" s="663">
        <f t="shared" si="87"/>
        <v>14.378</v>
      </c>
      <c r="AC386" s="673" t="s">
        <v>912</v>
      </c>
    </row>
    <row r="387" spans="1:32">
      <c r="A387" s="673">
        <v>333</v>
      </c>
      <c r="C387" s="713" t="s">
        <v>911</v>
      </c>
      <c r="E387" s="673" t="s">
        <v>912</v>
      </c>
      <c r="G387" s="673" t="s">
        <v>913</v>
      </c>
      <c r="I387" s="714" t="s">
        <v>937</v>
      </c>
      <c r="K387" s="707">
        <v>40000</v>
      </c>
      <c r="M387" s="719">
        <v>40000</v>
      </c>
      <c r="O387" s="716">
        <v>10.0375</v>
      </c>
      <c r="Q387" s="708">
        <f t="shared" si="88"/>
        <v>401500</v>
      </c>
      <c r="S387" s="718">
        <v>0</v>
      </c>
      <c r="U387" s="718">
        <f t="shared" si="89"/>
        <v>0</v>
      </c>
      <c r="W387" s="708">
        <f t="shared" si="90"/>
        <v>401500</v>
      </c>
      <c r="Y387" s="699">
        <v>1.4E-3</v>
      </c>
      <c r="AA387" s="663">
        <f t="shared" si="87"/>
        <v>56</v>
      </c>
      <c r="AC387" s="673" t="s">
        <v>912</v>
      </c>
    </row>
    <row r="388" spans="1:32">
      <c r="A388" s="673">
        <v>334</v>
      </c>
      <c r="C388" s="713" t="s">
        <v>990</v>
      </c>
      <c r="E388" s="673" t="s">
        <v>912</v>
      </c>
      <c r="G388" s="673" t="s">
        <v>913</v>
      </c>
      <c r="I388" s="714" t="s">
        <v>939</v>
      </c>
      <c r="K388" s="707">
        <v>800</v>
      </c>
      <c r="M388" s="719">
        <v>20740</v>
      </c>
      <c r="O388" s="716">
        <v>10.0375</v>
      </c>
      <c r="Q388" s="708">
        <f t="shared" si="88"/>
        <v>8030</v>
      </c>
      <c r="S388" s="718">
        <v>0</v>
      </c>
      <c r="U388" s="718">
        <f t="shared" si="89"/>
        <v>0</v>
      </c>
      <c r="W388" s="708">
        <f t="shared" si="90"/>
        <v>8030</v>
      </c>
      <c r="Y388" s="699">
        <v>1.4E-3</v>
      </c>
      <c r="AA388" s="663">
        <f t="shared" si="87"/>
        <v>29.036000000000001</v>
      </c>
      <c r="AC388" s="673" t="s">
        <v>912</v>
      </c>
    </row>
    <row r="389" spans="1:32">
      <c r="A389" s="673">
        <v>335</v>
      </c>
      <c r="C389" s="713" t="s">
        <v>990</v>
      </c>
      <c r="E389" s="673" t="s">
        <v>912</v>
      </c>
      <c r="G389" s="673" t="s">
        <v>913</v>
      </c>
      <c r="I389" s="714" t="s">
        <v>940</v>
      </c>
      <c r="K389" s="707">
        <v>200</v>
      </c>
      <c r="M389" s="719">
        <v>650</v>
      </c>
      <c r="O389" s="716">
        <v>10.0375</v>
      </c>
      <c r="Q389" s="708">
        <f t="shared" si="88"/>
        <v>2007.5</v>
      </c>
      <c r="S389" s="718">
        <v>0</v>
      </c>
      <c r="U389" s="718">
        <f t="shared" si="89"/>
        <v>0</v>
      </c>
      <c r="W389" s="708">
        <f t="shared" si="90"/>
        <v>2007.5</v>
      </c>
      <c r="Y389" s="699">
        <v>1.4E-3</v>
      </c>
      <c r="AA389" s="663">
        <f t="shared" si="87"/>
        <v>0.91</v>
      </c>
      <c r="AC389" s="673" t="s">
        <v>912</v>
      </c>
    </row>
    <row r="390" spans="1:32">
      <c r="A390" s="673">
        <v>336</v>
      </c>
      <c r="C390" s="713" t="s">
        <v>990</v>
      </c>
      <c r="E390" s="673" t="s">
        <v>912</v>
      </c>
      <c r="G390" s="673" t="s">
        <v>913</v>
      </c>
      <c r="I390" s="714" t="s">
        <v>941</v>
      </c>
      <c r="K390" s="707">
        <v>400</v>
      </c>
      <c r="M390" s="715">
        <v>0</v>
      </c>
      <c r="O390" s="716">
        <v>10.0375</v>
      </c>
      <c r="Q390" s="708">
        <f t="shared" si="88"/>
        <v>4015</v>
      </c>
      <c r="S390" s="718">
        <v>0</v>
      </c>
      <c r="U390" s="718">
        <f t="shared" si="89"/>
        <v>0</v>
      </c>
      <c r="W390" s="708">
        <f t="shared" si="90"/>
        <v>4015</v>
      </c>
      <c r="Y390" s="699">
        <v>1.4E-3</v>
      </c>
      <c r="AA390" s="663">
        <f t="shared" si="87"/>
        <v>0</v>
      </c>
      <c r="AC390" s="673" t="s">
        <v>912</v>
      </c>
    </row>
    <row r="391" spans="1:32">
      <c r="A391" s="673">
        <v>337</v>
      </c>
      <c r="C391" s="700" t="s">
        <v>960</v>
      </c>
      <c r="K391" s="701">
        <f>SUM(K371:K390)</f>
        <v>203983</v>
      </c>
      <c r="M391" s="702">
        <f>SUM(M371:M390)</f>
        <v>1510156</v>
      </c>
      <c r="Q391" s="752">
        <f>SUM(Q371:Q390)</f>
        <v>2047479.3625</v>
      </c>
      <c r="U391" s="752">
        <f>SUM(U371:U390)</f>
        <v>0</v>
      </c>
      <c r="W391" s="752">
        <f>SUM(W371:W390)</f>
        <v>2047479.3625</v>
      </c>
      <c r="AA391" s="703">
        <f>SUM(AA371:AA390)</f>
        <v>2114.2183999999997</v>
      </c>
      <c r="AE391" s="706"/>
    </row>
    <row r="392" spans="1:32">
      <c r="C392" s="700" t="s">
        <v>961</v>
      </c>
    </row>
    <row r="393" spans="1:32">
      <c r="A393" s="673">
        <v>338</v>
      </c>
      <c r="C393" s="729" t="s">
        <v>958</v>
      </c>
      <c r="D393" s="682"/>
      <c r="E393" s="681" t="s">
        <v>912</v>
      </c>
      <c r="F393" s="681"/>
      <c r="G393" s="681" t="s">
        <v>962</v>
      </c>
      <c r="H393" s="682"/>
      <c r="I393" s="730" t="s">
        <v>996</v>
      </c>
      <c r="J393" s="682"/>
      <c r="K393" s="731">
        <v>0</v>
      </c>
      <c r="L393" s="682"/>
      <c r="M393" s="748">
        <v>7810</v>
      </c>
      <c r="N393" s="682"/>
      <c r="O393" s="732">
        <v>6.93</v>
      </c>
      <c r="Q393" s="708">
        <f t="shared" ref="Q393:Q398" si="91">K393*O393</f>
        <v>0</v>
      </c>
      <c r="S393" s="718">
        <v>0</v>
      </c>
      <c r="U393" s="718">
        <f t="shared" ref="U393:U398" si="92">S393*M393</f>
        <v>0</v>
      </c>
      <c r="W393" s="706">
        <f t="shared" ref="W393:W401" si="93">Q393+U393</f>
        <v>0</v>
      </c>
      <c r="Y393" s="699">
        <v>1.4E-3</v>
      </c>
      <c r="AA393" s="663">
        <f t="shared" ref="AA393:AA398" si="94">Y393*M393</f>
        <v>10.933999999999999</v>
      </c>
      <c r="AC393" s="673" t="s">
        <v>912</v>
      </c>
      <c r="AF393" s="705"/>
    </row>
    <row r="394" spans="1:32">
      <c r="A394" s="673">
        <v>339</v>
      </c>
      <c r="C394" s="729" t="s">
        <v>991</v>
      </c>
      <c r="D394" s="682"/>
      <c r="E394" s="681" t="s">
        <v>912</v>
      </c>
      <c r="F394" s="681"/>
      <c r="G394" s="681" t="s">
        <v>962</v>
      </c>
      <c r="H394" s="682"/>
      <c r="I394" s="730" t="s">
        <v>998</v>
      </c>
      <c r="J394" s="682"/>
      <c r="K394" s="731">
        <v>0</v>
      </c>
      <c r="L394" s="682"/>
      <c r="M394" s="747">
        <v>190878</v>
      </c>
      <c r="N394" s="682"/>
      <c r="O394" s="732">
        <v>10.0375</v>
      </c>
      <c r="Q394" s="708">
        <f t="shared" si="91"/>
        <v>0</v>
      </c>
      <c r="S394" s="718">
        <v>0</v>
      </c>
      <c r="U394" s="718">
        <f t="shared" si="92"/>
        <v>0</v>
      </c>
      <c r="W394" s="706">
        <f t="shared" si="93"/>
        <v>0</v>
      </c>
      <c r="Y394" s="699">
        <v>1.4E-3</v>
      </c>
      <c r="AA394" s="663">
        <f t="shared" si="94"/>
        <v>267.22919999999999</v>
      </c>
      <c r="AC394" s="673" t="s">
        <v>912</v>
      </c>
    </row>
    <row r="395" spans="1:32">
      <c r="A395" s="673">
        <v>340</v>
      </c>
      <c r="C395" s="729" t="s">
        <v>932</v>
      </c>
      <c r="D395" s="682"/>
      <c r="E395" s="681" t="s">
        <v>912</v>
      </c>
      <c r="F395" s="681"/>
      <c r="G395" s="681" t="s">
        <v>962</v>
      </c>
      <c r="H395" s="682"/>
      <c r="I395" s="730" t="s">
        <v>999</v>
      </c>
      <c r="J395" s="682"/>
      <c r="K395" s="731">
        <v>0</v>
      </c>
      <c r="L395" s="682"/>
      <c r="M395" s="747">
        <v>4650</v>
      </c>
      <c r="N395" s="682"/>
      <c r="O395" s="732">
        <v>10.0375</v>
      </c>
      <c r="Q395" s="708">
        <f t="shared" si="91"/>
        <v>0</v>
      </c>
      <c r="S395" s="718">
        <v>0</v>
      </c>
      <c r="U395" s="718">
        <f t="shared" si="92"/>
        <v>0</v>
      </c>
      <c r="W395" s="706">
        <f t="shared" si="93"/>
        <v>0</v>
      </c>
      <c r="Y395" s="699">
        <v>1.4E-3</v>
      </c>
      <c r="AA395" s="663">
        <f t="shared" si="94"/>
        <v>6.51</v>
      </c>
      <c r="AC395" s="673" t="s">
        <v>912</v>
      </c>
    </row>
    <row r="396" spans="1:32">
      <c r="A396" s="673">
        <v>341</v>
      </c>
      <c r="C396" s="729" t="s">
        <v>972</v>
      </c>
      <c r="D396" s="682"/>
      <c r="E396" s="681" t="s">
        <v>912</v>
      </c>
      <c r="F396" s="681"/>
      <c r="G396" s="681" t="s">
        <v>970</v>
      </c>
      <c r="H396" s="682"/>
      <c r="I396" s="730" t="s">
        <v>973</v>
      </c>
      <c r="J396" s="682"/>
      <c r="K396" s="731">
        <v>150</v>
      </c>
      <c r="L396" s="682"/>
      <c r="M396" s="747">
        <v>0</v>
      </c>
      <c r="N396" s="682"/>
      <c r="O396" s="732">
        <v>10.0375</v>
      </c>
      <c r="Q396" s="708">
        <f t="shared" si="91"/>
        <v>1505.625</v>
      </c>
      <c r="S396" s="718">
        <v>0</v>
      </c>
      <c r="U396" s="718">
        <f t="shared" si="92"/>
        <v>0</v>
      </c>
      <c r="W396" s="706">
        <f t="shared" si="93"/>
        <v>1505.625</v>
      </c>
      <c r="Y396" s="699">
        <v>1.4E-3</v>
      </c>
      <c r="AA396" s="663">
        <f t="shared" si="94"/>
        <v>0</v>
      </c>
      <c r="AC396" s="673" t="s">
        <v>912</v>
      </c>
      <c r="AE396" s="705"/>
    </row>
    <row r="397" spans="1:32">
      <c r="A397" s="673">
        <v>342</v>
      </c>
      <c r="C397" s="729" t="s">
        <v>974</v>
      </c>
      <c r="D397" s="682"/>
      <c r="E397" s="681" t="s">
        <v>912</v>
      </c>
      <c r="F397" s="681"/>
      <c r="G397" s="681" t="s">
        <v>970</v>
      </c>
      <c r="H397" s="682"/>
      <c r="I397" s="730" t="s">
        <v>975</v>
      </c>
      <c r="J397" s="682"/>
      <c r="K397" s="731">
        <v>20000</v>
      </c>
      <c r="L397" s="682"/>
      <c r="M397" s="747">
        <v>0</v>
      </c>
      <c r="N397" s="682"/>
      <c r="O397" s="732">
        <v>10.0375</v>
      </c>
      <c r="Q397" s="708">
        <f t="shared" si="91"/>
        <v>200750</v>
      </c>
      <c r="S397" s="718">
        <v>0</v>
      </c>
      <c r="U397" s="718">
        <f t="shared" si="92"/>
        <v>0</v>
      </c>
      <c r="W397" s="706">
        <f t="shared" si="93"/>
        <v>200750</v>
      </c>
      <c r="Y397" s="699">
        <v>1.4E-3</v>
      </c>
      <c r="AA397" s="663">
        <f t="shared" si="94"/>
        <v>0</v>
      </c>
      <c r="AC397" s="673" t="s">
        <v>912</v>
      </c>
    </row>
    <row r="398" spans="1:32">
      <c r="A398" s="673">
        <v>343</v>
      </c>
      <c r="C398" s="729" t="s">
        <v>992</v>
      </c>
      <c r="D398" s="682"/>
      <c r="E398" s="681" t="s">
        <v>912</v>
      </c>
      <c r="F398" s="681"/>
      <c r="G398" s="681" t="s">
        <v>970</v>
      </c>
      <c r="H398" s="682"/>
      <c r="I398" s="730" t="s">
        <v>963</v>
      </c>
      <c r="J398" s="682"/>
      <c r="K398" s="731">
        <v>500</v>
      </c>
      <c r="L398" s="682"/>
      <c r="M398" s="748">
        <v>6730</v>
      </c>
      <c r="N398" s="682"/>
      <c r="O398" s="732">
        <v>10.0375</v>
      </c>
      <c r="Q398" s="708">
        <f t="shared" si="91"/>
        <v>5018.75</v>
      </c>
      <c r="S398" s="718">
        <v>0</v>
      </c>
      <c r="U398" s="718">
        <f t="shared" si="92"/>
        <v>0</v>
      </c>
      <c r="W398" s="706">
        <f t="shared" si="93"/>
        <v>5018.75</v>
      </c>
      <c r="Y398" s="699">
        <v>1.4E-3</v>
      </c>
      <c r="AA398" s="663">
        <f t="shared" si="94"/>
        <v>9.4220000000000006</v>
      </c>
      <c r="AC398" s="673" t="s">
        <v>912</v>
      </c>
    </row>
    <row r="399" spans="1:32">
      <c r="A399" s="673">
        <v>344</v>
      </c>
      <c r="C399" s="683" t="s">
        <v>976</v>
      </c>
      <c r="K399" s="701">
        <f>SUM(K393:K398)</f>
        <v>20650</v>
      </c>
      <c r="M399" s="702">
        <f>SUM(M393:M398)</f>
        <v>210068</v>
      </c>
      <c r="Q399" s="703">
        <f>SUM(Q393:Q398)</f>
        <v>207274.375</v>
      </c>
      <c r="U399" s="752">
        <f>SUM(U393:U398)</f>
        <v>0</v>
      </c>
      <c r="W399" s="752">
        <f>SUM(W393:W398)</f>
        <v>207274.375</v>
      </c>
      <c r="AA399" s="703">
        <f>SUM(AA393:AA398)</f>
        <v>294.09520000000003</v>
      </c>
    </row>
    <row r="400" spans="1:32">
      <c r="C400" s="683" t="s">
        <v>877</v>
      </c>
    </row>
    <row r="401" spans="1:29">
      <c r="A401" s="673">
        <v>345</v>
      </c>
      <c r="C401" s="713" t="s">
        <v>932</v>
      </c>
      <c r="E401" s="681" t="s">
        <v>912</v>
      </c>
      <c r="G401" s="681" t="s">
        <v>977</v>
      </c>
      <c r="I401" s="714" t="s">
        <v>978</v>
      </c>
      <c r="K401" s="676">
        <v>0</v>
      </c>
      <c r="M401" s="719">
        <v>47092</v>
      </c>
      <c r="O401" s="732">
        <v>0</v>
      </c>
      <c r="Q401" s="708">
        <f t="shared" ref="Q401" si="95">K401*O401</f>
        <v>0</v>
      </c>
      <c r="S401" s="737">
        <v>0.33</v>
      </c>
      <c r="U401" s="718">
        <f t="shared" ref="U401" si="96">S401*M401</f>
        <v>15540.36</v>
      </c>
      <c r="W401" s="706">
        <f t="shared" si="93"/>
        <v>15540.36</v>
      </c>
      <c r="Y401" s="699">
        <v>1.4E-3</v>
      </c>
      <c r="AA401" s="663">
        <f>Y401*M401</f>
        <v>65.928799999999995</v>
      </c>
      <c r="AC401" s="673" t="s">
        <v>912</v>
      </c>
    </row>
    <row r="402" spans="1:29">
      <c r="A402" s="673">
        <v>346</v>
      </c>
      <c r="C402" s="683" t="s">
        <v>982</v>
      </c>
      <c r="K402" s="701">
        <f>SUM(K401)</f>
        <v>0</v>
      </c>
      <c r="M402" s="702">
        <f>SUM(M401)</f>
        <v>47092</v>
      </c>
      <c r="Q402" s="752">
        <f>SUM(Q401)</f>
        <v>0</v>
      </c>
      <c r="U402" s="752">
        <f>SUM(U401)</f>
        <v>15540.36</v>
      </c>
      <c r="W402" s="752">
        <f>SUM(W401)</f>
        <v>15540.36</v>
      </c>
      <c r="AA402" s="703">
        <f>SUM(AA401)</f>
        <v>65.928799999999995</v>
      </c>
    </row>
    <row r="404" spans="1:29">
      <c r="C404" s="677" t="s">
        <v>1000</v>
      </c>
      <c r="D404" s="677"/>
      <c r="E404" s="678"/>
      <c r="F404" s="678"/>
      <c r="G404" s="678"/>
      <c r="H404" s="677"/>
      <c r="I404" s="678"/>
      <c r="J404" s="677"/>
      <c r="K404" s="679"/>
      <c r="L404" s="677"/>
      <c r="M404" s="680"/>
      <c r="N404" s="677"/>
      <c r="O404" s="677"/>
      <c r="P404" s="677"/>
      <c r="Q404" s="677"/>
      <c r="R404" s="677"/>
      <c r="S404" s="677"/>
      <c r="T404" s="677"/>
      <c r="U404" s="677"/>
      <c r="V404" s="677"/>
      <c r="W404" s="677"/>
      <c r="X404" s="677"/>
      <c r="Y404" s="677"/>
      <c r="Z404" s="677"/>
      <c r="AA404" s="677"/>
      <c r="AB404" s="677"/>
      <c r="AC404" s="677"/>
    </row>
    <row r="405" spans="1:29">
      <c r="C405" s="683" t="s">
        <v>876</v>
      </c>
    </row>
    <row r="406" spans="1:29">
      <c r="A406" s="673">
        <v>347</v>
      </c>
      <c r="C406" s="713" t="s">
        <v>1001</v>
      </c>
      <c r="E406" s="673" t="s">
        <v>912</v>
      </c>
      <c r="G406" s="714" t="s">
        <v>913</v>
      </c>
      <c r="I406" s="714" t="s">
        <v>1002</v>
      </c>
      <c r="K406" s="707">
        <v>350</v>
      </c>
      <c r="M406" s="719">
        <v>10500</v>
      </c>
      <c r="O406" s="716">
        <v>10.0375</v>
      </c>
      <c r="Q406" s="708">
        <f>K406*O406</f>
        <v>3513.125</v>
      </c>
      <c r="S406" s="718">
        <v>0</v>
      </c>
      <c r="U406" s="718">
        <f t="shared" ref="U406:U434" si="97">S406*M406</f>
        <v>0</v>
      </c>
      <c r="W406" s="708">
        <f t="shared" ref="W406:W434" si="98">Q406+U406</f>
        <v>3513.125</v>
      </c>
      <c r="Y406" s="699">
        <v>1.4E-3</v>
      </c>
      <c r="AA406" s="663">
        <f t="shared" ref="AA406:AA434" si="99">Y406*M406</f>
        <v>14.7</v>
      </c>
      <c r="AC406" s="673" t="s">
        <v>912</v>
      </c>
    </row>
    <row r="407" spans="1:29">
      <c r="A407" s="673">
        <v>348</v>
      </c>
      <c r="C407" s="713" t="s">
        <v>1003</v>
      </c>
      <c r="E407" s="673" t="s">
        <v>912</v>
      </c>
      <c r="G407" s="714" t="s">
        <v>913</v>
      </c>
      <c r="I407" s="714" t="s">
        <v>1004</v>
      </c>
      <c r="K407" s="707">
        <v>497</v>
      </c>
      <c r="M407" s="719">
        <v>14910</v>
      </c>
      <c r="O407" s="716">
        <v>10.0375</v>
      </c>
      <c r="Q407" s="708">
        <f t="shared" ref="Q407:Q434" si="100">K407*O407</f>
        <v>4988.6374999999998</v>
      </c>
      <c r="S407" s="718">
        <v>0</v>
      </c>
      <c r="U407" s="718">
        <f t="shared" si="97"/>
        <v>0</v>
      </c>
      <c r="W407" s="708">
        <f t="shared" si="98"/>
        <v>4988.6374999999998</v>
      </c>
      <c r="Y407" s="699">
        <v>1.4E-3</v>
      </c>
      <c r="AA407" s="663">
        <f t="shared" si="99"/>
        <v>20.873999999999999</v>
      </c>
      <c r="AC407" s="673" t="s">
        <v>912</v>
      </c>
    </row>
    <row r="408" spans="1:29">
      <c r="A408" s="673">
        <v>349</v>
      </c>
      <c r="C408" s="713" t="s">
        <v>1005</v>
      </c>
      <c r="E408" s="673" t="s">
        <v>912</v>
      </c>
      <c r="G408" s="714" t="s">
        <v>913</v>
      </c>
      <c r="I408" s="714" t="s">
        <v>1006</v>
      </c>
      <c r="K408" s="707">
        <v>844</v>
      </c>
      <c r="M408" s="719">
        <v>25290</v>
      </c>
      <c r="O408" s="716">
        <v>10.0375</v>
      </c>
      <c r="Q408" s="708">
        <f t="shared" si="100"/>
        <v>8471.65</v>
      </c>
      <c r="S408" s="718">
        <v>0</v>
      </c>
      <c r="U408" s="718">
        <f t="shared" si="97"/>
        <v>0</v>
      </c>
      <c r="W408" s="708">
        <f t="shared" si="98"/>
        <v>8471.65</v>
      </c>
      <c r="Y408" s="699">
        <v>1.4E-3</v>
      </c>
      <c r="AA408" s="663">
        <f t="shared" si="99"/>
        <v>35.405999999999999</v>
      </c>
      <c r="AC408" s="673" t="s">
        <v>912</v>
      </c>
    </row>
    <row r="409" spans="1:29">
      <c r="A409" s="673">
        <v>350</v>
      </c>
      <c r="C409" s="713" t="s">
        <v>952</v>
      </c>
      <c r="E409" s="673" t="s">
        <v>912</v>
      </c>
      <c r="G409" s="714" t="s">
        <v>913</v>
      </c>
      <c r="I409" s="714" t="s">
        <v>1007</v>
      </c>
      <c r="K409" s="707">
        <v>621</v>
      </c>
      <c r="M409" s="719">
        <v>18600</v>
      </c>
      <c r="O409" s="716">
        <v>10.0375</v>
      </c>
      <c r="Q409" s="708">
        <f t="shared" si="100"/>
        <v>6233.2874999999995</v>
      </c>
      <c r="S409" s="718">
        <v>0</v>
      </c>
      <c r="U409" s="718">
        <f t="shared" si="97"/>
        <v>0</v>
      </c>
      <c r="W409" s="708">
        <f t="shared" si="98"/>
        <v>6233.2874999999995</v>
      </c>
      <c r="Y409" s="699">
        <v>1.4E-3</v>
      </c>
      <c r="AA409" s="663">
        <f t="shared" si="99"/>
        <v>26.04</v>
      </c>
      <c r="AC409" s="673" t="s">
        <v>912</v>
      </c>
    </row>
    <row r="410" spans="1:29">
      <c r="A410" s="673">
        <v>351</v>
      </c>
      <c r="C410" s="713" t="s">
        <v>1008</v>
      </c>
      <c r="E410" s="673" t="s">
        <v>912</v>
      </c>
      <c r="G410" s="714" t="s">
        <v>913</v>
      </c>
      <c r="I410" s="714" t="s">
        <v>1009</v>
      </c>
      <c r="K410" s="707">
        <v>374</v>
      </c>
      <c r="M410" s="719">
        <v>11220</v>
      </c>
      <c r="O410" s="716">
        <v>10.0375</v>
      </c>
      <c r="Q410" s="708">
        <f t="shared" si="100"/>
        <v>3754.0250000000001</v>
      </c>
      <c r="S410" s="718">
        <v>0</v>
      </c>
      <c r="U410" s="718">
        <f t="shared" si="97"/>
        <v>0</v>
      </c>
      <c r="W410" s="708">
        <f t="shared" si="98"/>
        <v>3754.0250000000001</v>
      </c>
      <c r="Y410" s="699">
        <v>1.4E-3</v>
      </c>
      <c r="AA410" s="663">
        <f t="shared" si="99"/>
        <v>15.708</v>
      </c>
      <c r="AC410" s="673" t="s">
        <v>912</v>
      </c>
    </row>
    <row r="411" spans="1:29">
      <c r="A411" s="673">
        <v>352</v>
      </c>
      <c r="C411" s="713" t="s">
        <v>958</v>
      </c>
      <c r="E411" s="673" t="s">
        <v>912</v>
      </c>
      <c r="G411" s="714" t="s">
        <v>913</v>
      </c>
      <c r="I411" s="714" t="s">
        <v>1010</v>
      </c>
      <c r="K411" s="707">
        <v>62</v>
      </c>
      <c r="M411" s="719">
        <v>1860</v>
      </c>
      <c r="O411" s="716">
        <v>10.0375</v>
      </c>
      <c r="Q411" s="708">
        <f t="shared" si="100"/>
        <v>622.32499999999993</v>
      </c>
      <c r="S411" s="718">
        <v>0</v>
      </c>
      <c r="U411" s="718">
        <f t="shared" si="97"/>
        <v>0</v>
      </c>
      <c r="W411" s="708">
        <f t="shared" si="98"/>
        <v>622.32499999999993</v>
      </c>
      <c r="Y411" s="699">
        <v>1.4E-3</v>
      </c>
      <c r="AA411" s="663">
        <f t="shared" si="99"/>
        <v>2.6040000000000001</v>
      </c>
      <c r="AC411" s="673" t="s">
        <v>912</v>
      </c>
    </row>
    <row r="412" spans="1:29">
      <c r="A412" s="673">
        <v>353</v>
      </c>
      <c r="C412" s="713" t="s">
        <v>992</v>
      </c>
      <c r="E412" s="673" t="s">
        <v>912</v>
      </c>
      <c r="G412" s="714" t="s">
        <v>913</v>
      </c>
      <c r="I412" s="714" t="s">
        <v>1011</v>
      </c>
      <c r="K412" s="707">
        <v>80</v>
      </c>
      <c r="M412" s="719">
        <v>2400</v>
      </c>
      <c r="O412" s="716">
        <v>10.0375</v>
      </c>
      <c r="Q412" s="708">
        <f t="shared" si="100"/>
        <v>803</v>
      </c>
      <c r="S412" s="718">
        <v>0</v>
      </c>
      <c r="U412" s="718">
        <f t="shared" si="97"/>
        <v>0</v>
      </c>
      <c r="W412" s="708">
        <f t="shared" si="98"/>
        <v>803</v>
      </c>
      <c r="Y412" s="699">
        <v>1.4E-3</v>
      </c>
      <c r="AA412" s="663">
        <f t="shared" si="99"/>
        <v>3.36</v>
      </c>
      <c r="AC412" s="673" t="s">
        <v>912</v>
      </c>
    </row>
    <row r="413" spans="1:29">
      <c r="A413" s="673">
        <v>354</v>
      </c>
      <c r="C413" s="713" t="s">
        <v>1012</v>
      </c>
      <c r="E413" s="673" t="s">
        <v>912</v>
      </c>
      <c r="G413" s="714" t="s">
        <v>913</v>
      </c>
      <c r="I413" s="714" t="s">
        <v>1013</v>
      </c>
      <c r="K413" s="707">
        <v>678</v>
      </c>
      <c r="M413" s="719">
        <v>20310</v>
      </c>
      <c r="O413" s="716">
        <v>10.0375</v>
      </c>
      <c r="Q413" s="708">
        <f t="shared" si="100"/>
        <v>6805.4250000000002</v>
      </c>
      <c r="S413" s="718">
        <v>0</v>
      </c>
      <c r="U413" s="718">
        <f t="shared" si="97"/>
        <v>0</v>
      </c>
      <c r="W413" s="708">
        <f t="shared" si="98"/>
        <v>6805.4250000000002</v>
      </c>
      <c r="Y413" s="699">
        <v>1.4E-3</v>
      </c>
      <c r="AA413" s="663">
        <f t="shared" si="99"/>
        <v>28.434000000000001</v>
      </c>
      <c r="AC413" s="673" t="s">
        <v>912</v>
      </c>
    </row>
    <row r="414" spans="1:29">
      <c r="A414" s="673">
        <v>355</v>
      </c>
      <c r="C414" s="713" t="s">
        <v>942</v>
      </c>
      <c r="E414" s="673" t="s">
        <v>912</v>
      </c>
      <c r="G414" s="714" t="s">
        <v>913</v>
      </c>
      <c r="I414" s="714" t="s">
        <v>1014</v>
      </c>
      <c r="K414" s="707">
        <v>551</v>
      </c>
      <c r="M414" s="719">
        <v>16500</v>
      </c>
      <c r="O414" s="716">
        <v>10.0375</v>
      </c>
      <c r="Q414" s="708">
        <f t="shared" si="100"/>
        <v>5530.6624999999995</v>
      </c>
      <c r="S414" s="718">
        <v>0</v>
      </c>
      <c r="U414" s="718">
        <f t="shared" si="97"/>
        <v>0</v>
      </c>
      <c r="W414" s="708">
        <f t="shared" si="98"/>
        <v>5530.6624999999995</v>
      </c>
      <c r="Y414" s="699">
        <v>1.4E-3</v>
      </c>
      <c r="AA414" s="663">
        <f t="shared" si="99"/>
        <v>23.1</v>
      </c>
      <c r="AC414" s="673" t="s">
        <v>912</v>
      </c>
    </row>
    <row r="415" spans="1:29">
      <c r="A415" s="673">
        <v>356</v>
      </c>
      <c r="C415" s="713" t="s">
        <v>911</v>
      </c>
      <c r="E415" s="673" t="s">
        <v>912</v>
      </c>
      <c r="G415" s="714" t="s">
        <v>913</v>
      </c>
      <c r="I415" s="714" t="s">
        <v>914</v>
      </c>
      <c r="K415" s="707">
        <v>105750</v>
      </c>
      <c r="M415" s="715">
        <v>1816432</v>
      </c>
      <c r="O415" s="716">
        <v>10.0375</v>
      </c>
      <c r="Q415" s="708">
        <f t="shared" si="100"/>
        <v>1061465.625</v>
      </c>
      <c r="S415" s="718">
        <v>0</v>
      </c>
      <c r="U415" s="718">
        <f t="shared" si="97"/>
        <v>0</v>
      </c>
      <c r="W415" s="708">
        <f t="shared" si="98"/>
        <v>1061465.625</v>
      </c>
      <c r="Y415" s="699">
        <v>1.4E-3</v>
      </c>
      <c r="AA415" s="663">
        <f t="shared" si="99"/>
        <v>2543.0048000000002</v>
      </c>
      <c r="AC415" s="673" t="s">
        <v>912</v>
      </c>
    </row>
    <row r="416" spans="1:29">
      <c r="A416" s="673">
        <v>357</v>
      </c>
      <c r="C416" s="713" t="s">
        <v>915</v>
      </c>
      <c r="E416" s="673" t="s">
        <v>912</v>
      </c>
      <c r="G416" s="714" t="s">
        <v>913</v>
      </c>
      <c r="I416" s="714" t="s">
        <v>916</v>
      </c>
      <c r="K416" s="707">
        <v>200</v>
      </c>
      <c r="M416" s="719">
        <v>150</v>
      </c>
      <c r="O416" s="716">
        <v>10.0375</v>
      </c>
      <c r="Q416" s="708">
        <f t="shared" si="100"/>
        <v>2007.5</v>
      </c>
      <c r="S416" s="718">
        <v>0</v>
      </c>
      <c r="U416" s="718">
        <f t="shared" si="97"/>
        <v>0</v>
      </c>
      <c r="W416" s="708">
        <f t="shared" si="98"/>
        <v>2007.5</v>
      </c>
      <c r="Y416" s="699">
        <v>1.4E-3</v>
      </c>
      <c r="AA416" s="663">
        <f t="shared" si="99"/>
        <v>0.21</v>
      </c>
      <c r="AC416" s="673" t="s">
        <v>912</v>
      </c>
    </row>
    <row r="417" spans="1:29">
      <c r="A417" s="673">
        <v>358</v>
      </c>
      <c r="C417" s="713" t="s">
        <v>917</v>
      </c>
      <c r="E417" s="673" t="s">
        <v>912</v>
      </c>
      <c r="G417" s="714" t="s">
        <v>913</v>
      </c>
      <c r="I417" s="714" t="s">
        <v>918</v>
      </c>
      <c r="K417" s="707">
        <v>1200</v>
      </c>
      <c r="M417" s="719">
        <v>3000</v>
      </c>
      <c r="O417" s="716">
        <v>10.0375</v>
      </c>
      <c r="Q417" s="708">
        <f t="shared" si="100"/>
        <v>12045</v>
      </c>
      <c r="S417" s="718">
        <v>0</v>
      </c>
      <c r="U417" s="718">
        <f t="shared" si="97"/>
        <v>0</v>
      </c>
      <c r="W417" s="708">
        <f t="shared" si="98"/>
        <v>12045</v>
      </c>
      <c r="Y417" s="699">
        <v>1.4E-3</v>
      </c>
      <c r="AA417" s="663">
        <f t="shared" si="99"/>
        <v>4.2</v>
      </c>
      <c r="AC417" s="673" t="s">
        <v>912</v>
      </c>
    </row>
    <row r="418" spans="1:29">
      <c r="A418" s="673">
        <v>359</v>
      </c>
      <c r="C418" s="713" t="s">
        <v>919</v>
      </c>
      <c r="E418" s="673" t="s">
        <v>912</v>
      </c>
      <c r="G418" s="714" t="s">
        <v>913</v>
      </c>
      <c r="I418" s="714" t="s">
        <v>920</v>
      </c>
      <c r="K418" s="707">
        <v>1550</v>
      </c>
      <c r="M418" s="715">
        <v>0</v>
      </c>
      <c r="O418" s="716">
        <v>10.0375</v>
      </c>
      <c r="Q418" s="708">
        <f t="shared" si="100"/>
        <v>15558.125</v>
      </c>
      <c r="S418" s="718">
        <v>0</v>
      </c>
      <c r="U418" s="718">
        <f t="shared" si="97"/>
        <v>0</v>
      </c>
      <c r="W418" s="708">
        <f t="shared" si="98"/>
        <v>15558.125</v>
      </c>
      <c r="Y418" s="699">
        <v>1.4E-3</v>
      </c>
      <c r="AA418" s="663">
        <f t="shared" si="99"/>
        <v>0</v>
      </c>
      <c r="AC418" s="673" t="s">
        <v>912</v>
      </c>
    </row>
    <row r="419" spans="1:29">
      <c r="A419" s="673">
        <v>360</v>
      </c>
      <c r="C419" s="713" t="s">
        <v>911</v>
      </c>
      <c r="E419" s="673" t="s">
        <v>912</v>
      </c>
      <c r="G419" s="714" t="s">
        <v>913</v>
      </c>
      <c r="I419" s="714" t="s">
        <v>921</v>
      </c>
      <c r="K419" s="707">
        <v>10000</v>
      </c>
      <c r="M419" s="719">
        <v>67267</v>
      </c>
      <c r="O419" s="716">
        <v>10.0375</v>
      </c>
      <c r="Q419" s="708">
        <f t="shared" si="100"/>
        <v>100375</v>
      </c>
      <c r="S419" s="718">
        <v>0</v>
      </c>
      <c r="U419" s="718">
        <f t="shared" si="97"/>
        <v>0</v>
      </c>
      <c r="W419" s="708">
        <f t="shared" si="98"/>
        <v>100375</v>
      </c>
      <c r="Y419" s="699">
        <v>1.4E-3</v>
      </c>
      <c r="AA419" s="663">
        <f t="shared" si="99"/>
        <v>94.1738</v>
      </c>
      <c r="AC419" s="673" t="s">
        <v>912</v>
      </c>
    </row>
    <row r="420" spans="1:29">
      <c r="A420" s="673">
        <v>361</v>
      </c>
      <c r="C420" s="713" t="s">
        <v>922</v>
      </c>
      <c r="E420" s="673" t="s">
        <v>912</v>
      </c>
      <c r="G420" s="714" t="s">
        <v>913</v>
      </c>
      <c r="I420" s="714" t="s">
        <v>923</v>
      </c>
      <c r="K420" s="707">
        <v>200</v>
      </c>
      <c r="M420" s="719">
        <v>4600</v>
      </c>
      <c r="O420" s="716">
        <v>10.0375</v>
      </c>
      <c r="Q420" s="708">
        <f t="shared" si="100"/>
        <v>2007.5</v>
      </c>
      <c r="S420" s="718">
        <v>0</v>
      </c>
      <c r="U420" s="718">
        <f t="shared" si="97"/>
        <v>0</v>
      </c>
      <c r="W420" s="708">
        <f t="shared" si="98"/>
        <v>2007.5</v>
      </c>
      <c r="Y420" s="699">
        <v>1.4E-3</v>
      </c>
      <c r="AA420" s="663">
        <f t="shared" si="99"/>
        <v>6.4399999999999995</v>
      </c>
      <c r="AC420" s="673" t="s">
        <v>912</v>
      </c>
    </row>
    <row r="421" spans="1:29">
      <c r="A421" s="673">
        <v>362</v>
      </c>
      <c r="C421" s="713" t="s">
        <v>989</v>
      </c>
      <c r="E421" s="673" t="s">
        <v>912</v>
      </c>
      <c r="G421" s="714" t="s">
        <v>913</v>
      </c>
      <c r="I421" s="714" t="s">
        <v>925</v>
      </c>
      <c r="K421" s="707">
        <v>550</v>
      </c>
      <c r="M421" s="719">
        <v>16470</v>
      </c>
      <c r="O421" s="716">
        <v>10.0375</v>
      </c>
      <c r="Q421" s="708">
        <f t="shared" si="100"/>
        <v>5520.625</v>
      </c>
      <c r="S421" s="718">
        <v>0</v>
      </c>
      <c r="U421" s="718">
        <f t="shared" si="97"/>
        <v>0</v>
      </c>
      <c r="W421" s="708">
        <f t="shared" si="98"/>
        <v>5520.625</v>
      </c>
      <c r="Y421" s="699">
        <v>1.4E-3</v>
      </c>
      <c r="AA421" s="663">
        <f t="shared" si="99"/>
        <v>23.058</v>
      </c>
      <c r="AC421" s="673" t="s">
        <v>912</v>
      </c>
    </row>
    <row r="422" spans="1:29">
      <c r="A422" s="673">
        <v>363</v>
      </c>
      <c r="C422" s="713" t="s">
        <v>911</v>
      </c>
      <c r="E422" s="673" t="s">
        <v>912</v>
      </c>
      <c r="G422" s="714" t="s">
        <v>913</v>
      </c>
      <c r="I422" s="714" t="s">
        <v>926</v>
      </c>
      <c r="K422" s="707">
        <v>5661</v>
      </c>
      <c r="M422" s="719">
        <v>38314</v>
      </c>
      <c r="O422" s="716">
        <v>10.0375</v>
      </c>
      <c r="Q422" s="708">
        <f t="shared" si="100"/>
        <v>56822.287499999999</v>
      </c>
      <c r="S422" s="718">
        <v>0</v>
      </c>
      <c r="U422" s="718">
        <f t="shared" si="97"/>
        <v>0</v>
      </c>
      <c r="W422" s="708">
        <f t="shared" si="98"/>
        <v>56822.287499999999</v>
      </c>
      <c r="Y422" s="699">
        <v>1.4E-3</v>
      </c>
      <c r="AA422" s="663">
        <f t="shared" si="99"/>
        <v>53.639600000000002</v>
      </c>
      <c r="AC422" s="673" t="s">
        <v>912</v>
      </c>
    </row>
    <row r="423" spans="1:29">
      <c r="A423" s="673">
        <v>364</v>
      </c>
      <c r="C423" s="713" t="s">
        <v>911</v>
      </c>
      <c r="E423" s="673" t="s">
        <v>912</v>
      </c>
      <c r="G423" s="714" t="s">
        <v>913</v>
      </c>
      <c r="I423" s="714" t="s">
        <v>927</v>
      </c>
      <c r="K423" s="707">
        <v>5690</v>
      </c>
      <c r="M423" s="719">
        <v>38497</v>
      </c>
      <c r="O423" s="716">
        <v>10.0375</v>
      </c>
      <c r="Q423" s="708">
        <f t="shared" si="100"/>
        <v>57113.375</v>
      </c>
      <c r="S423" s="718">
        <v>0</v>
      </c>
      <c r="U423" s="718">
        <f t="shared" si="97"/>
        <v>0</v>
      </c>
      <c r="W423" s="708">
        <f t="shared" si="98"/>
        <v>57113.375</v>
      </c>
      <c r="Y423" s="699">
        <v>1.4E-3</v>
      </c>
      <c r="AA423" s="663">
        <f t="shared" si="99"/>
        <v>53.895800000000001</v>
      </c>
      <c r="AC423" s="673" t="s">
        <v>912</v>
      </c>
    </row>
    <row r="424" spans="1:29">
      <c r="A424" s="673">
        <v>365</v>
      </c>
      <c r="C424" s="713" t="s">
        <v>928</v>
      </c>
      <c r="E424" s="673" t="s">
        <v>912</v>
      </c>
      <c r="G424" s="714" t="s">
        <v>913</v>
      </c>
      <c r="I424" s="714" t="s">
        <v>929</v>
      </c>
      <c r="K424" s="707">
        <v>8000</v>
      </c>
      <c r="M424" s="715">
        <v>224788</v>
      </c>
      <c r="O424" s="716">
        <v>10.0375</v>
      </c>
      <c r="Q424" s="708">
        <f t="shared" si="100"/>
        <v>80300</v>
      </c>
      <c r="S424" s="718">
        <v>0</v>
      </c>
      <c r="U424" s="718">
        <f t="shared" si="97"/>
        <v>0</v>
      </c>
      <c r="W424" s="708">
        <f t="shared" si="98"/>
        <v>80300</v>
      </c>
      <c r="Y424" s="699">
        <v>1.4E-3</v>
      </c>
      <c r="AA424" s="663">
        <f t="shared" si="99"/>
        <v>314.70319999999998</v>
      </c>
      <c r="AC424" s="673" t="s">
        <v>912</v>
      </c>
    </row>
    <row r="425" spans="1:29">
      <c r="A425" s="673">
        <v>366</v>
      </c>
      <c r="C425" s="713" t="s">
        <v>928</v>
      </c>
      <c r="E425" s="673" t="s">
        <v>912</v>
      </c>
      <c r="G425" s="714" t="s">
        <v>913</v>
      </c>
      <c r="I425" s="714" t="s">
        <v>930</v>
      </c>
      <c r="K425" s="707">
        <v>16500</v>
      </c>
      <c r="M425" s="715">
        <v>0</v>
      </c>
      <c r="O425" s="716">
        <v>10.0375</v>
      </c>
      <c r="Q425" s="708">
        <f t="shared" si="100"/>
        <v>165618.75</v>
      </c>
      <c r="S425" s="718">
        <v>0</v>
      </c>
      <c r="U425" s="718">
        <f t="shared" si="97"/>
        <v>0</v>
      </c>
      <c r="W425" s="708">
        <f t="shared" si="98"/>
        <v>165618.75</v>
      </c>
      <c r="Y425" s="699">
        <v>1.4E-3</v>
      </c>
      <c r="AA425" s="663">
        <f t="shared" si="99"/>
        <v>0</v>
      </c>
      <c r="AC425" s="673" t="s">
        <v>912</v>
      </c>
    </row>
    <row r="426" spans="1:29">
      <c r="A426" s="673">
        <v>367</v>
      </c>
      <c r="C426" s="713" t="s">
        <v>911</v>
      </c>
      <c r="E426" s="673" t="s">
        <v>912</v>
      </c>
      <c r="G426" s="714" t="s">
        <v>913</v>
      </c>
      <c r="I426" s="714" t="s">
        <v>931</v>
      </c>
      <c r="K426" s="707">
        <v>5722</v>
      </c>
      <c r="M426" s="719">
        <v>38700</v>
      </c>
      <c r="O426" s="716">
        <v>10.0375</v>
      </c>
      <c r="Q426" s="708">
        <f t="shared" si="100"/>
        <v>57434.574999999997</v>
      </c>
      <c r="S426" s="718">
        <v>0</v>
      </c>
      <c r="U426" s="718">
        <f t="shared" si="97"/>
        <v>0</v>
      </c>
      <c r="W426" s="708">
        <f t="shared" si="98"/>
        <v>57434.574999999997</v>
      </c>
      <c r="Y426" s="699">
        <v>1.4E-3</v>
      </c>
      <c r="AA426" s="663">
        <f t="shared" si="99"/>
        <v>54.18</v>
      </c>
      <c r="AC426" s="673" t="s">
        <v>912</v>
      </c>
    </row>
    <row r="427" spans="1:29">
      <c r="A427" s="673">
        <v>368</v>
      </c>
      <c r="C427" s="713" t="s">
        <v>932</v>
      </c>
      <c r="E427" s="673" t="s">
        <v>912</v>
      </c>
      <c r="G427" s="714" t="s">
        <v>913</v>
      </c>
      <c r="I427" s="714" t="s">
        <v>933</v>
      </c>
      <c r="K427" s="707">
        <v>760</v>
      </c>
      <c r="M427" s="715">
        <v>22800</v>
      </c>
      <c r="O427" s="716">
        <v>10.0375</v>
      </c>
      <c r="Q427" s="708">
        <f t="shared" si="100"/>
        <v>7628.5</v>
      </c>
      <c r="S427" s="718">
        <v>0</v>
      </c>
      <c r="U427" s="718">
        <f t="shared" si="97"/>
        <v>0</v>
      </c>
      <c r="W427" s="708">
        <f t="shared" si="98"/>
        <v>7628.5</v>
      </c>
      <c r="Y427" s="699">
        <v>1.4E-3</v>
      </c>
      <c r="AA427" s="663">
        <f t="shared" si="99"/>
        <v>31.919999999999998</v>
      </c>
      <c r="AC427" s="673" t="s">
        <v>912</v>
      </c>
    </row>
    <row r="428" spans="1:29">
      <c r="A428" s="673">
        <v>369</v>
      </c>
      <c r="C428" s="713" t="s">
        <v>922</v>
      </c>
      <c r="E428" s="673" t="s">
        <v>912</v>
      </c>
      <c r="G428" s="714" t="s">
        <v>913</v>
      </c>
      <c r="I428" s="714" t="s">
        <v>934</v>
      </c>
      <c r="K428" s="707">
        <v>150</v>
      </c>
      <c r="M428" s="719">
        <v>3450</v>
      </c>
      <c r="O428" s="716">
        <v>10.0375</v>
      </c>
      <c r="Q428" s="708">
        <f t="shared" si="100"/>
        <v>1505.625</v>
      </c>
      <c r="S428" s="718">
        <v>0</v>
      </c>
      <c r="U428" s="718">
        <f t="shared" si="97"/>
        <v>0</v>
      </c>
      <c r="W428" s="708">
        <f t="shared" si="98"/>
        <v>1505.625</v>
      </c>
      <c r="Y428" s="699">
        <v>1.4E-3</v>
      </c>
      <c r="AA428" s="663">
        <f t="shared" si="99"/>
        <v>4.83</v>
      </c>
      <c r="AC428" s="673" t="s">
        <v>912</v>
      </c>
    </row>
    <row r="429" spans="1:29">
      <c r="A429" s="673">
        <v>370</v>
      </c>
      <c r="C429" s="713" t="s">
        <v>922</v>
      </c>
      <c r="E429" s="673" t="s">
        <v>912</v>
      </c>
      <c r="G429" s="714" t="s">
        <v>913</v>
      </c>
      <c r="I429" s="714" t="s">
        <v>935</v>
      </c>
      <c r="K429" s="707">
        <v>250</v>
      </c>
      <c r="M429" s="719">
        <v>7073</v>
      </c>
      <c r="O429" s="716">
        <v>10.0375</v>
      </c>
      <c r="Q429" s="708">
        <f t="shared" si="100"/>
        <v>2509.375</v>
      </c>
      <c r="S429" s="718">
        <v>0</v>
      </c>
      <c r="U429" s="718">
        <f t="shared" si="97"/>
        <v>0</v>
      </c>
      <c r="W429" s="708">
        <f t="shared" si="98"/>
        <v>2509.375</v>
      </c>
      <c r="Y429" s="699">
        <v>1.4E-3</v>
      </c>
      <c r="AA429" s="663">
        <f t="shared" si="99"/>
        <v>9.9022000000000006</v>
      </c>
      <c r="AC429" s="673" t="s">
        <v>912</v>
      </c>
    </row>
    <row r="430" spans="1:29">
      <c r="A430" s="673">
        <v>371</v>
      </c>
      <c r="C430" s="713" t="s">
        <v>922</v>
      </c>
      <c r="E430" s="673" t="s">
        <v>912</v>
      </c>
      <c r="G430" s="714" t="s">
        <v>913</v>
      </c>
      <c r="I430" s="714" t="s">
        <v>936</v>
      </c>
      <c r="K430" s="707">
        <v>400</v>
      </c>
      <c r="M430" s="719">
        <v>12000</v>
      </c>
      <c r="O430" s="716">
        <v>10.0375</v>
      </c>
      <c r="Q430" s="708">
        <f t="shared" si="100"/>
        <v>4015</v>
      </c>
      <c r="S430" s="718">
        <v>0</v>
      </c>
      <c r="U430" s="718">
        <f t="shared" si="97"/>
        <v>0</v>
      </c>
      <c r="W430" s="708">
        <f t="shared" si="98"/>
        <v>4015</v>
      </c>
      <c r="Y430" s="699">
        <v>1.4E-3</v>
      </c>
      <c r="AA430" s="663">
        <f t="shared" si="99"/>
        <v>16.8</v>
      </c>
      <c r="AC430" s="673" t="s">
        <v>912</v>
      </c>
    </row>
    <row r="431" spans="1:29">
      <c r="A431" s="673">
        <v>372</v>
      </c>
      <c r="C431" s="713" t="s">
        <v>911</v>
      </c>
      <c r="E431" s="673" t="s">
        <v>912</v>
      </c>
      <c r="G431" s="714" t="s">
        <v>913</v>
      </c>
      <c r="I431" s="714" t="s">
        <v>937</v>
      </c>
      <c r="K431" s="707">
        <v>40000</v>
      </c>
      <c r="M431" s="715">
        <v>319015</v>
      </c>
      <c r="O431" s="716">
        <v>10.0375</v>
      </c>
      <c r="Q431" s="708">
        <f t="shared" si="100"/>
        <v>401500</v>
      </c>
      <c r="S431" s="718">
        <v>0</v>
      </c>
      <c r="U431" s="718">
        <f t="shared" si="97"/>
        <v>0</v>
      </c>
      <c r="W431" s="708">
        <f t="shared" si="98"/>
        <v>401500</v>
      </c>
      <c r="Y431" s="699">
        <v>1.4E-3</v>
      </c>
      <c r="AA431" s="663">
        <f t="shared" si="99"/>
        <v>446.62099999999998</v>
      </c>
      <c r="AC431" s="673" t="s">
        <v>912</v>
      </c>
    </row>
    <row r="432" spans="1:29">
      <c r="A432" s="673">
        <v>373</v>
      </c>
      <c r="C432" s="713" t="s">
        <v>990</v>
      </c>
      <c r="E432" s="673" t="s">
        <v>912</v>
      </c>
      <c r="G432" s="714" t="s">
        <v>913</v>
      </c>
      <c r="I432" s="714" t="s">
        <v>939</v>
      </c>
      <c r="K432" s="707">
        <v>800</v>
      </c>
      <c r="M432" s="719">
        <v>20686</v>
      </c>
      <c r="O432" s="716">
        <v>10.0375</v>
      </c>
      <c r="Q432" s="708">
        <f t="shared" si="100"/>
        <v>8030</v>
      </c>
      <c r="S432" s="718">
        <v>0</v>
      </c>
      <c r="U432" s="718">
        <f t="shared" si="97"/>
        <v>0</v>
      </c>
      <c r="W432" s="708">
        <f t="shared" si="98"/>
        <v>8030</v>
      </c>
      <c r="Y432" s="699">
        <v>1.4E-3</v>
      </c>
      <c r="AA432" s="663">
        <f t="shared" si="99"/>
        <v>28.9604</v>
      </c>
      <c r="AC432" s="673" t="s">
        <v>912</v>
      </c>
    </row>
    <row r="433" spans="1:31">
      <c r="A433" s="673">
        <v>374</v>
      </c>
      <c r="C433" s="713" t="s">
        <v>990</v>
      </c>
      <c r="E433" s="673" t="s">
        <v>912</v>
      </c>
      <c r="G433" s="714" t="s">
        <v>913</v>
      </c>
      <c r="I433" s="714" t="s">
        <v>940</v>
      </c>
      <c r="K433" s="707">
        <v>200</v>
      </c>
      <c r="M433" s="715">
        <v>0</v>
      </c>
      <c r="O433" s="716">
        <v>10.0375</v>
      </c>
      <c r="Q433" s="708">
        <f t="shared" si="100"/>
        <v>2007.5</v>
      </c>
      <c r="S433" s="718">
        <v>0</v>
      </c>
      <c r="U433" s="718">
        <f t="shared" si="97"/>
        <v>0</v>
      </c>
      <c r="W433" s="708">
        <f t="shared" si="98"/>
        <v>2007.5</v>
      </c>
      <c r="Y433" s="699">
        <v>1.4E-3</v>
      </c>
      <c r="AA433" s="663">
        <f t="shared" si="99"/>
        <v>0</v>
      </c>
      <c r="AC433" s="673" t="s">
        <v>912</v>
      </c>
    </row>
    <row r="434" spans="1:31">
      <c r="A434" s="673">
        <v>375</v>
      </c>
      <c r="C434" s="713" t="s">
        <v>990</v>
      </c>
      <c r="E434" s="673" t="s">
        <v>912</v>
      </c>
      <c r="G434" s="714" t="s">
        <v>913</v>
      </c>
      <c r="I434" s="714" t="s">
        <v>941</v>
      </c>
      <c r="K434" s="707">
        <v>400</v>
      </c>
      <c r="M434" s="719">
        <v>5719</v>
      </c>
      <c r="O434" s="716">
        <v>10.0375</v>
      </c>
      <c r="Q434" s="708">
        <f t="shared" si="100"/>
        <v>4015</v>
      </c>
      <c r="S434" s="718">
        <v>0</v>
      </c>
      <c r="U434" s="718">
        <f t="shared" si="97"/>
        <v>0</v>
      </c>
      <c r="W434" s="708">
        <f t="shared" si="98"/>
        <v>4015</v>
      </c>
      <c r="Y434" s="699">
        <v>1.4E-3</v>
      </c>
      <c r="AA434" s="663">
        <f t="shared" si="99"/>
        <v>8.0066000000000006</v>
      </c>
      <c r="AC434" s="673" t="s">
        <v>912</v>
      </c>
    </row>
    <row r="435" spans="1:31">
      <c r="A435" s="673">
        <v>376</v>
      </c>
      <c r="C435" s="700" t="s">
        <v>960</v>
      </c>
      <c r="K435" s="701">
        <f>SUM(K406:K434)</f>
        <v>208040</v>
      </c>
      <c r="M435" s="702">
        <f>SUM(M406:M434)</f>
        <v>2760551</v>
      </c>
      <c r="Q435" s="703">
        <f>SUM(Q406:Q434)</f>
        <v>2088201.5</v>
      </c>
      <c r="U435" s="703">
        <f>SUM(U406:U434)</f>
        <v>0</v>
      </c>
      <c r="W435" s="703">
        <f>SUM(W406:W434)</f>
        <v>2088201.5</v>
      </c>
      <c r="AA435" s="703">
        <f>SUM(AA406:AA434)</f>
        <v>3864.7714000000001</v>
      </c>
    </row>
    <row r="436" spans="1:31">
      <c r="C436" s="700" t="s">
        <v>961</v>
      </c>
    </row>
    <row r="437" spans="1:31">
      <c r="A437" s="673">
        <v>377</v>
      </c>
      <c r="C437" s="729" t="s">
        <v>958</v>
      </c>
      <c r="D437" s="682"/>
      <c r="E437" s="681" t="s">
        <v>912</v>
      </c>
      <c r="F437" s="681"/>
      <c r="G437" s="730" t="s">
        <v>962</v>
      </c>
      <c r="H437" s="682"/>
      <c r="I437" s="730" t="s">
        <v>996</v>
      </c>
      <c r="J437" s="682"/>
      <c r="K437" s="731">
        <v>0</v>
      </c>
      <c r="M437" s="719">
        <v>9000</v>
      </c>
      <c r="O437" s="716">
        <v>10.0375</v>
      </c>
      <c r="Q437" s="708">
        <f t="shared" ref="Q437:Q442" si="101">K437*O437</f>
        <v>0</v>
      </c>
      <c r="S437" s="718">
        <v>0</v>
      </c>
      <c r="U437" s="718">
        <f t="shared" ref="U437:U442" si="102">S437*M437</f>
        <v>0</v>
      </c>
      <c r="W437" s="708">
        <f t="shared" ref="W437:W442" si="103">Q437+U437</f>
        <v>0</v>
      </c>
      <c r="Y437" s="699">
        <v>1.4E-3</v>
      </c>
      <c r="AA437" s="663">
        <f t="shared" ref="AA437:AA442" si="104">Y437*M437</f>
        <v>12.6</v>
      </c>
      <c r="AC437" s="673" t="s">
        <v>912</v>
      </c>
    </row>
    <row r="438" spans="1:31">
      <c r="A438" s="673">
        <v>378</v>
      </c>
      <c r="C438" s="729" t="s">
        <v>991</v>
      </c>
      <c r="D438" s="682"/>
      <c r="E438" s="681" t="s">
        <v>912</v>
      </c>
      <c r="F438" s="681"/>
      <c r="G438" s="730" t="s">
        <v>962</v>
      </c>
      <c r="H438" s="682"/>
      <c r="I438" s="730" t="s">
        <v>998</v>
      </c>
      <c r="J438" s="682"/>
      <c r="K438" s="731">
        <v>0</v>
      </c>
      <c r="M438" s="715">
        <v>199253</v>
      </c>
      <c r="O438" s="716">
        <v>10.0375</v>
      </c>
      <c r="Q438" s="708">
        <f t="shared" si="101"/>
        <v>0</v>
      </c>
      <c r="S438" s="718">
        <v>0</v>
      </c>
      <c r="U438" s="718">
        <f t="shared" si="102"/>
        <v>0</v>
      </c>
      <c r="W438" s="708">
        <f t="shared" si="103"/>
        <v>0</v>
      </c>
      <c r="Y438" s="699">
        <v>1.4E-3</v>
      </c>
      <c r="AA438" s="663">
        <f t="shared" si="104"/>
        <v>278.95420000000001</v>
      </c>
      <c r="AC438" s="673" t="s">
        <v>912</v>
      </c>
    </row>
    <row r="439" spans="1:31">
      <c r="A439" s="673">
        <v>379</v>
      </c>
      <c r="C439" s="729" t="s">
        <v>932</v>
      </c>
      <c r="D439" s="682"/>
      <c r="E439" s="681" t="s">
        <v>912</v>
      </c>
      <c r="F439" s="681"/>
      <c r="G439" s="730" t="s">
        <v>962</v>
      </c>
      <c r="H439" s="682"/>
      <c r="I439" s="730" t="s">
        <v>999</v>
      </c>
      <c r="J439" s="682"/>
      <c r="K439" s="731">
        <v>0</v>
      </c>
      <c r="M439" s="715">
        <v>4500</v>
      </c>
      <c r="O439" s="716">
        <v>10.0375</v>
      </c>
      <c r="Q439" s="708">
        <f t="shared" si="101"/>
        <v>0</v>
      </c>
      <c r="S439" s="718">
        <v>0</v>
      </c>
      <c r="U439" s="718">
        <f t="shared" si="102"/>
        <v>0</v>
      </c>
      <c r="W439" s="708">
        <f t="shared" si="103"/>
        <v>0</v>
      </c>
      <c r="Y439" s="699">
        <v>1.4E-3</v>
      </c>
      <c r="AA439" s="663">
        <f t="shared" si="104"/>
        <v>6.3</v>
      </c>
      <c r="AC439" s="673" t="s">
        <v>912</v>
      </c>
      <c r="AE439" s="705"/>
    </row>
    <row r="440" spans="1:31">
      <c r="A440" s="673">
        <v>380</v>
      </c>
      <c r="C440" s="729" t="s">
        <v>972</v>
      </c>
      <c r="D440" s="682"/>
      <c r="E440" s="681" t="s">
        <v>912</v>
      </c>
      <c r="F440" s="681"/>
      <c r="G440" s="730" t="s">
        <v>970</v>
      </c>
      <c r="H440" s="682"/>
      <c r="I440" s="730" t="s">
        <v>973</v>
      </c>
      <c r="J440" s="682"/>
      <c r="K440" s="731">
        <v>150</v>
      </c>
      <c r="M440" s="715">
        <v>0</v>
      </c>
      <c r="O440" s="716">
        <v>10.0375</v>
      </c>
      <c r="Q440" s="708">
        <f t="shared" si="101"/>
        <v>1505.625</v>
      </c>
      <c r="S440" s="718">
        <v>0</v>
      </c>
      <c r="U440" s="718">
        <f t="shared" si="102"/>
        <v>0</v>
      </c>
      <c r="W440" s="708">
        <f t="shared" si="103"/>
        <v>1505.625</v>
      </c>
      <c r="Y440" s="699">
        <v>1.4E-3</v>
      </c>
      <c r="AA440" s="663">
        <f t="shared" si="104"/>
        <v>0</v>
      </c>
      <c r="AC440" s="673" t="s">
        <v>912</v>
      </c>
    </row>
    <row r="441" spans="1:31">
      <c r="A441" s="673">
        <v>381</v>
      </c>
      <c r="C441" s="729" t="s">
        <v>974</v>
      </c>
      <c r="D441" s="682"/>
      <c r="E441" s="681" t="s">
        <v>912</v>
      </c>
      <c r="F441" s="681"/>
      <c r="G441" s="730" t="s">
        <v>970</v>
      </c>
      <c r="H441" s="682"/>
      <c r="I441" s="730" t="s">
        <v>975</v>
      </c>
      <c r="J441" s="682"/>
      <c r="K441" s="731">
        <v>20000</v>
      </c>
      <c r="M441" s="715">
        <v>0</v>
      </c>
      <c r="O441" s="716">
        <v>10.0375</v>
      </c>
      <c r="Q441" s="708">
        <f t="shared" si="101"/>
        <v>200750</v>
      </c>
      <c r="S441" s="718">
        <v>0</v>
      </c>
      <c r="U441" s="718">
        <f t="shared" si="102"/>
        <v>0</v>
      </c>
      <c r="W441" s="708">
        <f t="shared" si="103"/>
        <v>200750</v>
      </c>
      <c r="Y441" s="699">
        <v>1.4E-3</v>
      </c>
      <c r="AA441" s="663">
        <f t="shared" si="104"/>
        <v>0</v>
      </c>
      <c r="AC441" s="673" t="s">
        <v>912</v>
      </c>
    </row>
    <row r="442" spans="1:31">
      <c r="A442" s="673">
        <v>382</v>
      </c>
      <c r="C442" s="729" t="s">
        <v>992</v>
      </c>
      <c r="D442" s="682"/>
      <c r="E442" s="681" t="s">
        <v>912</v>
      </c>
      <c r="F442" s="681"/>
      <c r="G442" s="730" t="s">
        <v>970</v>
      </c>
      <c r="H442" s="682"/>
      <c r="I442" s="730" t="s">
        <v>963</v>
      </c>
      <c r="J442" s="682"/>
      <c r="K442" s="731">
        <v>500</v>
      </c>
      <c r="M442" s="719">
        <v>6000</v>
      </c>
      <c r="O442" s="716">
        <v>10.0375</v>
      </c>
      <c r="Q442" s="708">
        <f t="shared" si="101"/>
        <v>5018.75</v>
      </c>
      <c r="S442" s="718">
        <v>0</v>
      </c>
      <c r="U442" s="718">
        <f t="shared" si="102"/>
        <v>0</v>
      </c>
      <c r="W442" s="708">
        <f t="shared" si="103"/>
        <v>5018.75</v>
      </c>
      <c r="Y442" s="699">
        <v>1.4E-3</v>
      </c>
      <c r="AA442" s="663">
        <f t="shared" si="104"/>
        <v>8.4</v>
      </c>
      <c r="AC442" s="673" t="s">
        <v>912</v>
      </c>
    </row>
    <row r="443" spans="1:31">
      <c r="A443" s="673">
        <v>383</v>
      </c>
      <c r="C443" s="683" t="s">
        <v>976</v>
      </c>
      <c r="K443" s="701">
        <f>SUM(K437:K442)</f>
        <v>20650</v>
      </c>
      <c r="M443" s="702">
        <f>SUM(M437:M442)</f>
        <v>218753</v>
      </c>
      <c r="Q443" s="703">
        <f>SUM(Q437:Q442)</f>
        <v>207274.375</v>
      </c>
      <c r="U443" s="703">
        <f>SUM(U437:U442)</f>
        <v>0</v>
      </c>
      <c r="W443" s="703">
        <f>SUM(W437:W442)</f>
        <v>207274.375</v>
      </c>
      <c r="AA443" s="703">
        <f>SUM(AA437:AA442)</f>
        <v>306.25420000000003</v>
      </c>
    </row>
    <row r="444" spans="1:31">
      <c r="C444" s="683" t="s">
        <v>877</v>
      </c>
    </row>
    <row r="445" spans="1:31">
      <c r="A445" s="673">
        <v>384</v>
      </c>
      <c r="C445" s="713" t="s">
        <v>932</v>
      </c>
      <c r="E445" s="673" t="s">
        <v>912</v>
      </c>
      <c r="G445" s="730" t="s">
        <v>977</v>
      </c>
      <c r="I445" s="714" t="s">
        <v>978</v>
      </c>
      <c r="K445" s="676">
        <v>0</v>
      </c>
      <c r="M445" s="715">
        <v>78918</v>
      </c>
      <c r="O445" s="732">
        <v>0</v>
      </c>
      <c r="Q445" s="708">
        <f t="shared" ref="Q445:Q448" si="105">K445*O445</f>
        <v>0</v>
      </c>
      <c r="S445" s="737">
        <v>0.33</v>
      </c>
      <c r="U445" s="718">
        <f t="shared" ref="U445:U448" si="106">S445*M445</f>
        <v>26042.940000000002</v>
      </c>
      <c r="W445" s="708">
        <f t="shared" ref="W445:W448" si="107">Q445+U445</f>
        <v>26042.940000000002</v>
      </c>
      <c r="Y445" s="699">
        <v>1.4E-3</v>
      </c>
      <c r="AA445" s="663">
        <f t="shared" ref="AA445:AA448" si="108">Y445*M445</f>
        <v>110.48519999999999</v>
      </c>
      <c r="AC445" s="673" t="s">
        <v>912</v>
      </c>
    </row>
    <row r="446" spans="1:31">
      <c r="A446" s="673">
        <v>385</v>
      </c>
      <c r="C446" s="713" t="s">
        <v>952</v>
      </c>
      <c r="E446" s="673" t="s">
        <v>912</v>
      </c>
      <c r="G446" s="730" t="s">
        <v>977</v>
      </c>
      <c r="I446" s="714" t="s">
        <v>979</v>
      </c>
      <c r="K446" s="676">
        <v>0</v>
      </c>
      <c r="M446" s="719">
        <v>5621</v>
      </c>
      <c r="O446" s="732">
        <v>0</v>
      </c>
      <c r="Q446" s="708">
        <f t="shared" si="105"/>
        <v>0</v>
      </c>
      <c r="S446" s="737">
        <v>0.33</v>
      </c>
      <c r="U446" s="718">
        <f t="shared" si="106"/>
        <v>1854.93</v>
      </c>
      <c r="W446" s="708">
        <f t="shared" si="107"/>
        <v>1854.93</v>
      </c>
      <c r="Y446" s="699">
        <v>1.4E-3</v>
      </c>
      <c r="AA446" s="663">
        <f t="shared" si="108"/>
        <v>7.8693999999999997</v>
      </c>
      <c r="AC446" s="673" t="s">
        <v>912</v>
      </c>
      <c r="AE446" s="708"/>
    </row>
    <row r="447" spans="1:31">
      <c r="A447" s="673">
        <v>386</v>
      </c>
      <c r="C447" s="713" t="s">
        <v>980</v>
      </c>
      <c r="E447" s="673" t="s">
        <v>912</v>
      </c>
      <c r="G447" s="730" t="s">
        <v>977</v>
      </c>
      <c r="I447" s="714" t="s">
        <v>981</v>
      </c>
      <c r="K447" s="676">
        <v>0</v>
      </c>
      <c r="M447" s="719">
        <v>13317</v>
      </c>
      <c r="O447" s="732">
        <v>0</v>
      </c>
      <c r="Q447" s="708">
        <f t="shared" si="105"/>
        <v>0</v>
      </c>
      <c r="S447" s="737">
        <v>0.33</v>
      </c>
      <c r="U447" s="718">
        <f t="shared" si="106"/>
        <v>4394.6100000000006</v>
      </c>
      <c r="W447" s="708">
        <f t="shared" si="107"/>
        <v>4394.6100000000006</v>
      </c>
      <c r="Y447" s="699">
        <v>1.4E-3</v>
      </c>
      <c r="AA447" s="663">
        <f t="shared" si="108"/>
        <v>18.643799999999999</v>
      </c>
      <c r="AC447" s="673" t="s">
        <v>912</v>
      </c>
    </row>
    <row r="448" spans="1:31">
      <c r="A448" s="673">
        <v>387</v>
      </c>
      <c r="C448" s="713" t="s">
        <v>942</v>
      </c>
      <c r="E448" s="673" t="s">
        <v>912</v>
      </c>
      <c r="G448" s="730" t="s">
        <v>977</v>
      </c>
      <c r="I448" s="714" t="s">
        <v>984</v>
      </c>
      <c r="K448" s="676">
        <v>0</v>
      </c>
      <c r="M448" s="719">
        <v>1858</v>
      </c>
      <c r="O448" s="732">
        <v>0</v>
      </c>
      <c r="Q448" s="708">
        <f t="shared" si="105"/>
        <v>0</v>
      </c>
      <c r="S448" s="737">
        <v>0.33</v>
      </c>
      <c r="U448" s="718">
        <f t="shared" si="106"/>
        <v>613.14</v>
      </c>
      <c r="W448" s="708">
        <f t="shared" si="107"/>
        <v>613.14</v>
      </c>
      <c r="Y448" s="699">
        <v>1.4E-3</v>
      </c>
      <c r="AA448" s="663">
        <f t="shared" si="108"/>
        <v>2.6012</v>
      </c>
      <c r="AC448" s="673" t="s">
        <v>912</v>
      </c>
    </row>
    <row r="449" spans="1:29">
      <c r="A449" s="673">
        <v>388</v>
      </c>
      <c r="C449" s="683" t="s">
        <v>982</v>
      </c>
      <c r="K449" s="701">
        <f>SUM(K445:K448)</f>
        <v>0</v>
      </c>
      <c r="M449" s="702">
        <f>SUM(M445:M448)</f>
        <v>99714</v>
      </c>
      <c r="Q449" s="703">
        <f>SUM(Q445:Q448)</f>
        <v>0</v>
      </c>
      <c r="U449" s="703">
        <f>SUM(U445:U448)</f>
        <v>32905.620000000003</v>
      </c>
      <c r="W449" s="703">
        <f>SUM(W445:W448)</f>
        <v>32905.620000000003</v>
      </c>
      <c r="AA449" s="703">
        <f>SUM(AA445:AA448)</f>
        <v>139.59960000000001</v>
      </c>
    </row>
    <row r="451" spans="1:29">
      <c r="C451" s="677" t="s">
        <v>1015</v>
      </c>
      <c r="D451" s="677"/>
      <c r="E451" s="678"/>
      <c r="F451" s="678"/>
      <c r="G451" s="678"/>
      <c r="H451" s="677"/>
      <c r="I451" s="678"/>
      <c r="J451" s="677"/>
      <c r="K451" s="679"/>
      <c r="L451" s="677"/>
      <c r="M451" s="680"/>
      <c r="N451" s="677"/>
      <c r="O451" s="677"/>
      <c r="P451" s="677"/>
      <c r="Q451" s="677"/>
      <c r="R451" s="677"/>
      <c r="S451" s="677"/>
      <c r="T451" s="677"/>
      <c r="U451" s="677"/>
      <c r="V451" s="677"/>
      <c r="W451" s="677"/>
      <c r="X451" s="677"/>
      <c r="Y451" s="677"/>
      <c r="Z451" s="677"/>
      <c r="AA451" s="677"/>
      <c r="AB451" s="677"/>
      <c r="AC451" s="677"/>
    </row>
    <row r="452" spans="1:29">
      <c r="C452" s="683" t="s">
        <v>876</v>
      </c>
    </row>
    <row r="453" spans="1:29">
      <c r="A453" s="673">
        <v>389</v>
      </c>
      <c r="C453" s="713" t="s">
        <v>1001</v>
      </c>
      <c r="E453" s="673" t="s">
        <v>912</v>
      </c>
      <c r="G453" s="673" t="s">
        <v>913</v>
      </c>
      <c r="I453" s="714" t="s">
        <v>1002</v>
      </c>
      <c r="K453" s="707">
        <v>412</v>
      </c>
      <c r="M453" s="719">
        <v>12772</v>
      </c>
      <c r="O453" s="716">
        <v>10.0375</v>
      </c>
      <c r="Q453" s="708">
        <f t="shared" ref="Q453:Q481" si="109">K453*O453</f>
        <v>4135.45</v>
      </c>
      <c r="S453" s="718">
        <v>0</v>
      </c>
      <c r="U453" s="718">
        <f t="shared" ref="U453:U481" si="110">S453*M453</f>
        <v>0</v>
      </c>
      <c r="W453" s="708">
        <f t="shared" ref="W453:W481" si="111">Q453+U453</f>
        <v>4135.45</v>
      </c>
      <c r="Y453" s="699">
        <v>1.4E-3</v>
      </c>
      <c r="AA453" s="663">
        <f t="shared" ref="AA453:AA481" si="112">Y453*M453</f>
        <v>17.880800000000001</v>
      </c>
      <c r="AC453" s="673" t="s">
        <v>912</v>
      </c>
    </row>
    <row r="454" spans="1:29">
      <c r="A454" s="673">
        <v>390</v>
      </c>
      <c r="C454" s="713" t="s">
        <v>1003</v>
      </c>
      <c r="E454" s="673" t="s">
        <v>912</v>
      </c>
      <c r="G454" s="673" t="s">
        <v>913</v>
      </c>
      <c r="I454" s="714" t="s">
        <v>1004</v>
      </c>
      <c r="K454" s="707">
        <v>570</v>
      </c>
      <c r="M454" s="719">
        <v>17670</v>
      </c>
      <c r="O454" s="716">
        <v>10.0375</v>
      </c>
      <c r="Q454" s="708">
        <f t="shared" si="109"/>
        <v>5721.375</v>
      </c>
      <c r="S454" s="718">
        <v>0</v>
      </c>
      <c r="U454" s="718">
        <f t="shared" si="110"/>
        <v>0</v>
      </c>
      <c r="W454" s="708">
        <f t="shared" si="111"/>
        <v>5721.375</v>
      </c>
      <c r="Y454" s="699">
        <v>1.4E-3</v>
      </c>
      <c r="AA454" s="663">
        <f t="shared" si="112"/>
        <v>24.738</v>
      </c>
      <c r="AC454" s="673" t="s">
        <v>912</v>
      </c>
    </row>
    <row r="455" spans="1:29">
      <c r="A455" s="673">
        <v>391</v>
      </c>
      <c r="C455" s="713" t="s">
        <v>1005</v>
      </c>
      <c r="E455" s="673" t="s">
        <v>912</v>
      </c>
      <c r="G455" s="673" t="s">
        <v>913</v>
      </c>
      <c r="I455" s="714" t="s">
        <v>1006</v>
      </c>
      <c r="K455" s="707">
        <v>725</v>
      </c>
      <c r="M455" s="719">
        <v>22067</v>
      </c>
      <c r="O455" s="716">
        <v>10.0375</v>
      </c>
      <c r="Q455" s="708">
        <f t="shared" si="109"/>
        <v>7277.1875</v>
      </c>
      <c r="S455" s="718">
        <v>0</v>
      </c>
      <c r="U455" s="718">
        <f t="shared" si="110"/>
        <v>0</v>
      </c>
      <c r="W455" s="708">
        <f t="shared" si="111"/>
        <v>7277.1875</v>
      </c>
      <c r="Y455" s="699">
        <v>1.4E-3</v>
      </c>
      <c r="AA455" s="663">
        <f t="shared" si="112"/>
        <v>30.893799999999999</v>
      </c>
      <c r="AC455" s="673" t="s">
        <v>912</v>
      </c>
    </row>
    <row r="456" spans="1:29">
      <c r="A456" s="673">
        <v>392</v>
      </c>
      <c r="C456" s="713" t="s">
        <v>952</v>
      </c>
      <c r="E456" s="673" t="s">
        <v>912</v>
      </c>
      <c r="G456" s="673" t="s">
        <v>913</v>
      </c>
      <c r="I456" s="714" t="s">
        <v>1007</v>
      </c>
      <c r="K456" s="707">
        <v>725</v>
      </c>
      <c r="M456" s="719">
        <v>22475</v>
      </c>
      <c r="O456" s="716">
        <v>10.0375</v>
      </c>
      <c r="Q456" s="708">
        <f t="shared" si="109"/>
        <v>7277.1875</v>
      </c>
      <c r="S456" s="718">
        <v>0</v>
      </c>
      <c r="U456" s="718">
        <f t="shared" si="110"/>
        <v>0</v>
      </c>
      <c r="W456" s="708">
        <f t="shared" si="111"/>
        <v>7277.1875</v>
      </c>
      <c r="Y456" s="699">
        <v>1.4E-3</v>
      </c>
      <c r="AA456" s="663">
        <f t="shared" si="112"/>
        <v>31.465</v>
      </c>
      <c r="AC456" s="673" t="s">
        <v>912</v>
      </c>
    </row>
    <row r="457" spans="1:29">
      <c r="A457" s="673">
        <v>393</v>
      </c>
      <c r="C457" s="713" t="s">
        <v>1008</v>
      </c>
      <c r="E457" s="673" t="s">
        <v>912</v>
      </c>
      <c r="G457" s="673" t="s">
        <v>913</v>
      </c>
      <c r="I457" s="714" t="s">
        <v>1009</v>
      </c>
      <c r="K457" s="707">
        <v>436</v>
      </c>
      <c r="M457" s="719">
        <v>13516</v>
      </c>
      <c r="O457" s="716">
        <v>10.0375</v>
      </c>
      <c r="Q457" s="708">
        <f t="shared" si="109"/>
        <v>4376.3499999999995</v>
      </c>
      <c r="S457" s="718">
        <v>0</v>
      </c>
      <c r="U457" s="718">
        <f t="shared" si="110"/>
        <v>0</v>
      </c>
      <c r="W457" s="708">
        <f t="shared" si="111"/>
        <v>4376.3499999999995</v>
      </c>
      <c r="Y457" s="699">
        <v>1.4E-3</v>
      </c>
      <c r="AA457" s="663">
        <f t="shared" si="112"/>
        <v>18.9224</v>
      </c>
      <c r="AC457" s="673" t="s">
        <v>912</v>
      </c>
    </row>
    <row r="458" spans="1:29">
      <c r="A458" s="673">
        <v>394</v>
      </c>
      <c r="C458" s="713" t="s">
        <v>958</v>
      </c>
      <c r="E458" s="673" t="s">
        <v>912</v>
      </c>
      <c r="G458" s="673" t="s">
        <v>913</v>
      </c>
      <c r="I458" s="714" t="s">
        <v>1010</v>
      </c>
      <c r="K458" s="707">
        <v>114</v>
      </c>
      <c r="M458" s="719">
        <v>2850</v>
      </c>
      <c r="O458" s="716">
        <v>10.0375</v>
      </c>
      <c r="Q458" s="708">
        <f t="shared" si="109"/>
        <v>1144.2749999999999</v>
      </c>
      <c r="S458" s="718">
        <v>0</v>
      </c>
      <c r="U458" s="718">
        <f t="shared" si="110"/>
        <v>0</v>
      </c>
      <c r="W458" s="708">
        <f t="shared" si="111"/>
        <v>1144.2749999999999</v>
      </c>
      <c r="Y458" s="699">
        <v>1.4E-3</v>
      </c>
      <c r="AA458" s="663">
        <f t="shared" si="112"/>
        <v>3.9899999999999998</v>
      </c>
      <c r="AC458" s="673" t="s">
        <v>912</v>
      </c>
    </row>
    <row r="459" spans="1:29">
      <c r="A459" s="673">
        <v>395</v>
      </c>
      <c r="C459" s="713" t="s">
        <v>992</v>
      </c>
      <c r="E459" s="673" t="s">
        <v>912</v>
      </c>
      <c r="G459" s="673" t="s">
        <v>913</v>
      </c>
      <c r="I459" s="714" t="s">
        <v>1011</v>
      </c>
      <c r="K459" s="707">
        <v>137</v>
      </c>
      <c r="M459" s="719">
        <v>4247</v>
      </c>
      <c r="O459" s="716">
        <v>10.0375</v>
      </c>
      <c r="Q459" s="708">
        <f t="shared" si="109"/>
        <v>1375.1375</v>
      </c>
      <c r="S459" s="718">
        <v>0</v>
      </c>
      <c r="U459" s="718">
        <f t="shared" si="110"/>
        <v>0</v>
      </c>
      <c r="W459" s="708">
        <f t="shared" si="111"/>
        <v>1375.1375</v>
      </c>
      <c r="Y459" s="699">
        <v>1.4E-3</v>
      </c>
      <c r="AA459" s="663">
        <f t="shared" si="112"/>
        <v>5.9458000000000002</v>
      </c>
      <c r="AC459" s="673" t="s">
        <v>912</v>
      </c>
    </row>
    <row r="460" spans="1:29">
      <c r="A460" s="673">
        <v>396</v>
      </c>
      <c r="C460" s="713" t="s">
        <v>1012</v>
      </c>
      <c r="E460" s="673" t="s">
        <v>912</v>
      </c>
      <c r="G460" s="673" t="s">
        <v>913</v>
      </c>
      <c r="I460" s="714" t="s">
        <v>1013</v>
      </c>
      <c r="K460" s="707">
        <v>777</v>
      </c>
      <c r="M460" s="719">
        <v>24087</v>
      </c>
      <c r="O460" s="716">
        <v>10.0375</v>
      </c>
      <c r="Q460" s="708">
        <f t="shared" si="109"/>
        <v>7799.1374999999998</v>
      </c>
      <c r="S460" s="718">
        <v>0</v>
      </c>
      <c r="U460" s="718">
        <f t="shared" si="110"/>
        <v>0</v>
      </c>
      <c r="W460" s="708">
        <f t="shared" si="111"/>
        <v>7799.1374999999998</v>
      </c>
      <c r="Y460" s="699">
        <v>1.4E-3</v>
      </c>
      <c r="AA460" s="663">
        <f t="shared" si="112"/>
        <v>33.721800000000002</v>
      </c>
      <c r="AC460" s="673" t="s">
        <v>912</v>
      </c>
    </row>
    <row r="461" spans="1:29">
      <c r="A461" s="673">
        <v>397</v>
      </c>
      <c r="C461" s="713" t="s">
        <v>942</v>
      </c>
      <c r="E461" s="673" t="s">
        <v>912</v>
      </c>
      <c r="G461" s="673" t="s">
        <v>913</v>
      </c>
      <c r="I461" s="714" t="s">
        <v>1014</v>
      </c>
      <c r="K461" s="707">
        <v>497</v>
      </c>
      <c r="M461" s="719">
        <v>15407</v>
      </c>
      <c r="O461" s="716">
        <v>10.0375</v>
      </c>
      <c r="Q461" s="708">
        <f t="shared" si="109"/>
        <v>4988.6374999999998</v>
      </c>
      <c r="S461" s="718">
        <v>0</v>
      </c>
      <c r="U461" s="718">
        <f t="shared" si="110"/>
        <v>0</v>
      </c>
      <c r="W461" s="708">
        <f t="shared" si="111"/>
        <v>4988.6374999999998</v>
      </c>
      <c r="Y461" s="699">
        <v>1.4E-3</v>
      </c>
      <c r="AA461" s="663">
        <f t="shared" si="112"/>
        <v>21.569800000000001</v>
      </c>
      <c r="AC461" s="673" t="s">
        <v>912</v>
      </c>
    </row>
    <row r="462" spans="1:29">
      <c r="A462" s="673">
        <v>398</v>
      </c>
      <c r="C462" s="713" t="s">
        <v>911</v>
      </c>
      <c r="E462" s="673" t="s">
        <v>912</v>
      </c>
      <c r="G462" s="673" t="s">
        <v>913</v>
      </c>
      <c r="I462" s="714" t="s">
        <v>914</v>
      </c>
      <c r="K462" s="707">
        <v>105750</v>
      </c>
      <c r="M462" s="715">
        <v>2244843</v>
      </c>
      <c r="O462" s="716">
        <v>10.0375</v>
      </c>
      <c r="Q462" s="708">
        <f t="shared" si="109"/>
        <v>1061465.625</v>
      </c>
      <c r="S462" s="718">
        <v>0</v>
      </c>
      <c r="U462" s="718">
        <f t="shared" si="110"/>
        <v>0</v>
      </c>
      <c r="W462" s="708">
        <f t="shared" si="111"/>
        <v>1061465.625</v>
      </c>
      <c r="Y462" s="699">
        <v>1.4E-3</v>
      </c>
      <c r="AA462" s="663">
        <f t="shared" si="112"/>
        <v>3142.7802000000001</v>
      </c>
      <c r="AC462" s="673" t="s">
        <v>912</v>
      </c>
    </row>
    <row r="463" spans="1:29">
      <c r="A463" s="673">
        <v>399</v>
      </c>
      <c r="C463" s="713" t="s">
        <v>915</v>
      </c>
      <c r="E463" s="673" t="s">
        <v>912</v>
      </c>
      <c r="G463" s="673" t="s">
        <v>913</v>
      </c>
      <c r="I463" s="714" t="s">
        <v>916</v>
      </c>
      <c r="K463" s="707">
        <v>200</v>
      </c>
      <c r="M463" s="719">
        <v>3410</v>
      </c>
      <c r="O463" s="716">
        <v>10.0375</v>
      </c>
      <c r="Q463" s="708">
        <f t="shared" si="109"/>
        <v>2007.5</v>
      </c>
      <c r="S463" s="718">
        <v>0</v>
      </c>
      <c r="U463" s="718">
        <f t="shared" si="110"/>
        <v>0</v>
      </c>
      <c r="W463" s="708">
        <f t="shared" si="111"/>
        <v>2007.5</v>
      </c>
      <c r="Y463" s="699">
        <v>1.4E-3</v>
      </c>
      <c r="AA463" s="663">
        <f t="shared" si="112"/>
        <v>4.774</v>
      </c>
      <c r="AC463" s="673" t="s">
        <v>912</v>
      </c>
    </row>
    <row r="464" spans="1:29">
      <c r="A464" s="673">
        <v>400</v>
      </c>
      <c r="C464" s="713" t="s">
        <v>917</v>
      </c>
      <c r="E464" s="673" t="s">
        <v>912</v>
      </c>
      <c r="G464" s="673" t="s">
        <v>913</v>
      </c>
      <c r="I464" s="714" t="s">
        <v>918</v>
      </c>
      <c r="K464" s="707">
        <v>1200</v>
      </c>
      <c r="M464" s="719">
        <v>18600</v>
      </c>
      <c r="O464" s="716">
        <v>10.0375</v>
      </c>
      <c r="Q464" s="708">
        <f t="shared" si="109"/>
        <v>12045</v>
      </c>
      <c r="S464" s="718">
        <v>0</v>
      </c>
      <c r="U464" s="718">
        <f t="shared" si="110"/>
        <v>0</v>
      </c>
      <c r="W464" s="708">
        <f t="shared" si="111"/>
        <v>12045</v>
      </c>
      <c r="Y464" s="699">
        <v>1.4E-3</v>
      </c>
      <c r="AA464" s="663">
        <f t="shared" si="112"/>
        <v>26.04</v>
      </c>
      <c r="AC464" s="673" t="s">
        <v>912</v>
      </c>
    </row>
    <row r="465" spans="1:29">
      <c r="A465" s="673">
        <v>401</v>
      </c>
      <c r="C465" s="713" t="s">
        <v>919</v>
      </c>
      <c r="E465" s="673" t="s">
        <v>912</v>
      </c>
      <c r="G465" s="673" t="s">
        <v>913</v>
      </c>
      <c r="I465" s="714" t="s">
        <v>920</v>
      </c>
      <c r="K465" s="707">
        <v>1550</v>
      </c>
      <c r="M465" s="715">
        <v>0</v>
      </c>
      <c r="O465" s="716">
        <v>10.0375</v>
      </c>
      <c r="Q465" s="708">
        <f t="shared" si="109"/>
        <v>15558.125</v>
      </c>
      <c r="S465" s="718">
        <v>0</v>
      </c>
      <c r="U465" s="718">
        <f t="shared" si="110"/>
        <v>0</v>
      </c>
      <c r="W465" s="708">
        <f t="shared" si="111"/>
        <v>15558.125</v>
      </c>
      <c r="Y465" s="699">
        <v>1.4E-3</v>
      </c>
      <c r="AA465" s="663">
        <f t="shared" si="112"/>
        <v>0</v>
      </c>
      <c r="AC465" s="673" t="s">
        <v>912</v>
      </c>
    </row>
    <row r="466" spans="1:29">
      <c r="A466" s="673">
        <v>402</v>
      </c>
      <c r="C466" s="713" t="s">
        <v>911</v>
      </c>
      <c r="E466" s="673" t="s">
        <v>912</v>
      </c>
      <c r="G466" s="673" t="s">
        <v>913</v>
      </c>
      <c r="I466" s="714" t="s">
        <v>921</v>
      </c>
      <c r="K466" s="707">
        <v>10000</v>
      </c>
      <c r="M466" s="715">
        <v>301000</v>
      </c>
      <c r="O466" s="716">
        <v>10.0375</v>
      </c>
      <c r="Q466" s="708">
        <f t="shared" si="109"/>
        <v>100375</v>
      </c>
      <c r="S466" s="718">
        <v>0</v>
      </c>
      <c r="U466" s="718">
        <f t="shared" si="110"/>
        <v>0</v>
      </c>
      <c r="W466" s="708">
        <f t="shared" si="111"/>
        <v>100375</v>
      </c>
      <c r="Y466" s="699">
        <v>1.4E-3</v>
      </c>
      <c r="AA466" s="663">
        <f t="shared" si="112"/>
        <v>421.4</v>
      </c>
      <c r="AC466" s="673" t="s">
        <v>912</v>
      </c>
    </row>
    <row r="467" spans="1:29">
      <c r="A467" s="673">
        <v>403</v>
      </c>
      <c r="C467" s="713" t="s">
        <v>922</v>
      </c>
      <c r="E467" s="673" t="s">
        <v>912</v>
      </c>
      <c r="G467" s="673" t="s">
        <v>913</v>
      </c>
      <c r="I467" s="714" t="s">
        <v>923</v>
      </c>
      <c r="K467" s="707">
        <v>200</v>
      </c>
      <c r="M467" s="719">
        <v>6200</v>
      </c>
      <c r="O467" s="716">
        <v>10.0375</v>
      </c>
      <c r="Q467" s="708">
        <f t="shared" si="109"/>
        <v>2007.5</v>
      </c>
      <c r="S467" s="718">
        <v>0</v>
      </c>
      <c r="U467" s="718">
        <f t="shared" si="110"/>
        <v>0</v>
      </c>
      <c r="W467" s="708">
        <f t="shared" si="111"/>
        <v>2007.5</v>
      </c>
      <c r="Y467" s="699">
        <v>1.4E-3</v>
      </c>
      <c r="AA467" s="663">
        <f t="shared" si="112"/>
        <v>8.68</v>
      </c>
      <c r="AC467" s="673" t="s">
        <v>912</v>
      </c>
    </row>
    <row r="468" spans="1:29">
      <c r="A468" s="673">
        <v>404</v>
      </c>
      <c r="C468" s="713" t="s">
        <v>989</v>
      </c>
      <c r="E468" s="673" t="s">
        <v>912</v>
      </c>
      <c r="G468" s="673" t="s">
        <v>913</v>
      </c>
      <c r="I468" s="714" t="s">
        <v>925</v>
      </c>
      <c r="K468" s="707">
        <v>550</v>
      </c>
      <c r="M468" s="719">
        <v>17050</v>
      </c>
      <c r="O468" s="716">
        <v>10.0375</v>
      </c>
      <c r="Q468" s="708">
        <f t="shared" si="109"/>
        <v>5520.625</v>
      </c>
      <c r="S468" s="718">
        <v>0</v>
      </c>
      <c r="U468" s="718">
        <f t="shared" si="110"/>
        <v>0</v>
      </c>
      <c r="W468" s="708">
        <f t="shared" si="111"/>
        <v>5520.625</v>
      </c>
      <c r="Y468" s="699">
        <v>1.4E-3</v>
      </c>
      <c r="AA468" s="663">
        <f t="shared" si="112"/>
        <v>23.87</v>
      </c>
      <c r="AC468" s="673" t="s">
        <v>912</v>
      </c>
    </row>
    <row r="469" spans="1:29">
      <c r="A469" s="673">
        <v>405</v>
      </c>
      <c r="C469" s="713" t="s">
        <v>911</v>
      </c>
      <c r="E469" s="673" t="s">
        <v>912</v>
      </c>
      <c r="G469" s="673" t="s">
        <v>913</v>
      </c>
      <c r="I469" s="714" t="s">
        <v>926</v>
      </c>
      <c r="K469" s="707">
        <v>5661</v>
      </c>
      <c r="M469" s="715">
        <v>175491</v>
      </c>
      <c r="O469" s="716">
        <v>10.0375</v>
      </c>
      <c r="Q469" s="708">
        <f t="shared" si="109"/>
        <v>56822.287499999999</v>
      </c>
      <c r="S469" s="718">
        <v>0</v>
      </c>
      <c r="U469" s="718">
        <f t="shared" si="110"/>
        <v>0</v>
      </c>
      <c r="W469" s="708">
        <f t="shared" si="111"/>
        <v>56822.287499999999</v>
      </c>
      <c r="Y469" s="699">
        <v>1.4E-3</v>
      </c>
      <c r="AA469" s="663">
        <f t="shared" si="112"/>
        <v>245.6874</v>
      </c>
      <c r="AC469" s="673" t="s">
        <v>912</v>
      </c>
    </row>
    <row r="470" spans="1:29">
      <c r="A470" s="673">
        <v>406</v>
      </c>
      <c r="C470" s="713" t="s">
        <v>911</v>
      </c>
      <c r="E470" s="673" t="s">
        <v>912</v>
      </c>
      <c r="G470" s="673" t="s">
        <v>913</v>
      </c>
      <c r="I470" s="714" t="s">
        <v>927</v>
      </c>
      <c r="K470" s="707">
        <v>5690</v>
      </c>
      <c r="M470" s="715">
        <v>176390</v>
      </c>
      <c r="O470" s="716">
        <v>10.0375</v>
      </c>
      <c r="Q470" s="708">
        <f t="shared" si="109"/>
        <v>57113.375</v>
      </c>
      <c r="S470" s="718">
        <v>0</v>
      </c>
      <c r="U470" s="718">
        <f t="shared" si="110"/>
        <v>0</v>
      </c>
      <c r="W470" s="708">
        <f t="shared" si="111"/>
        <v>57113.375</v>
      </c>
      <c r="Y470" s="699">
        <v>1.4E-3</v>
      </c>
      <c r="AA470" s="663">
        <f t="shared" si="112"/>
        <v>246.946</v>
      </c>
      <c r="AC470" s="673" t="s">
        <v>912</v>
      </c>
    </row>
    <row r="471" spans="1:29">
      <c r="A471" s="673">
        <v>407</v>
      </c>
      <c r="C471" s="713" t="s">
        <v>928</v>
      </c>
      <c r="E471" s="673" t="s">
        <v>912</v>
      </c>
      <c r="G471" s="673" t="s">
        <v>913</v>
      </c>
      <c r="I471" s="714" t="s">
        <v>929</v>
      </c>
      <c r="K471" s="707">
        <v>8000</v>
      </c>
      <c r="M471" s="715">
        <v>232717</v>
      </c>
      <c r="O471" s="716">
        <v>10.0375</v>
      </c>
      <c r="Q471" s="708">
        <f t="shared" si="109"/>
        <v>80300</v>
      </c>
      <c r="S471" s="718">
        <v>0</v>
      </c>
      <c r="U471" s="718">
        <f t="shared" si="110"/>
        <v>0</v>
      </c>
      <c r="W471" s="708">
        <f t="shared" si="111"/>
        <v>80300</v>
      </c>
      <c r="Y471" s="699">
        <v>1.4E-3</v>
      </c>
      <c r="AA471" s="663">
        <f t="shared" si="112"/>
        <v>325.80380000000002</v>
      </c>
      <c r="AC471" s="673" t="s">
        <v>912</v>
      </c>
    </row>
    <row r="472" spans="1:29">
      <c r="A472" s="673">
        <v>408</v>
      </c>
      <c r="C472" s="713" t="s">
        <v>928</v>
      </c>
      <c r="E472" s="673" t="s">
        <v>912</v>
      </c>
      <c r="G472" s="673" t="s">
        <v>913</v>
      </c>
      <c r="I472" s="714" t="s">
        <v>930</v>
      </c>
      <c r="K472" s="707">
        <v>16500</v>
      </c>
      <c r="M472" s="719">
        <v>239258</v>
      </c>
      <c r="O472" s="716">
        <v>10.0375</v>
      </c>
      <c r="Q472" s="708">
        <f t="shared" si="109"/>
        <v>165618.75</v>
      </c>
      <c r="S472" s="718">
        <v>0</v>
      </c>
      <c r="U472" s="718">
        <f t="shared" si="110"/>
        <v>0</v>
      </c>
      <c r="W472" s="708">
        <f t="shared" si="111"/>
        <v>165618.75</v>
      </c>
      <c r="Y472" s="699">
        <v>1.4E-3</v>
      </c>
      <c r="AA472" s="663">
        <f t="shared" si="112"/>
        <v>334.96120000000002</v>
      </c>
      <c r="AC472" s="673" t="s">
        <v>912</v>
      </c>
    </row>
    <row r="473" spans="1:29">
      <c r="A473" s="673">
        <v>409</v>
      </c>
      <c r="C473" s="713" t="s">
        <v>911</v>
      </c>
      <c r="E473" s="673" t="s">
        <v>912</v>
      </c>
      <c r="G473" s="673" t="s">
        <v>913</v>
      </c>
      <c r="I473" s="714" t="s">
        <v>931</v>
      </c>
      <c r="K473" s="707">
        <v>5722</v>
      </c>
      <c r="M473" s="715">
        <v>177382</v>
      </c>
      <c r="O473" s="716">
        <v>10.0375</v>
      </c>
      <c r="Q473" s="708">
        <f t="shared" si="109"/>
        <v>57434.574999999997</v>
      </c>
      <c r="S473" s="718">
        <v>0</v>
      </c>
      <c r="U473" s="718">
        <f t="shared" si="110"/>
        <v>0</v>
      </c>
      <c r="W473" s="708">
        <f t="shared" si="111"/>
        <v>57434.574999999997</v>
      </c>
      <c r="Y473" s="699">
        <v>1.4E-3</v>
      </c>
      <c r="AA473" s="663">
        <f t="shared" si="112"/>
        <v>248.3348</v>
      </c>
      <c r="AC473" s="673" t="s">
        <v>912</v>
      </c>
    </row>
    <row r="474" spans="1:29">
      <c r="A474" s="673">
        <v>410</v>
      </c>
      <c r="C474" s="713" t="s">
        <v>932</v>
      </c>
      <c r="E474" s="673" t="s">
        <v>912</v>
      </c>
      <c r="G474" s="673" t="s">
        <v>913</v>
      </c>
      <c r="I474" s="714" t="s">
        <v>933</v>
      </c>
      <c r="K474" s="707">
        <v>760</v>
      </c>
      <c r="M474" s="715">
        <v>23560</v>
      </c>
      <c r="O474" s="716">
        <v>10.0375</v>
      </c>
      <c r="Q474" s="708">
        <f t="shared" si="109"/>
        <v>7628.5</v>
      </c>
      <c r="S474" s="718">
        <v>0</v>
      </c>
      <c r="U474" s="718">
        <f t="shared" si="110"/>
        <v>0</v>
      </c>
      <c r="W474" s="708">
        <f t="shared" si="111"/>
        <v>7628.5</v>
      </c>
      <c r="Y474" s="699">
        <v>1.4E-3</v>
      </c>
      <c r="AA474" s="663">
        <f t="shared" si="112"/>
        <v>32.984000000000002</v>
      </c>
      <c r="AC474" s="673" t="s">
        <v>912</v>
      </c>
    </row>
    <row r="475" spans="1:29">
      <c r="A475" s="673">
        <v>411</v>
      </c>
      <c r="C475" s="713" t="s">
        <v>922</v>
      </c>
      <c r="E475" s="673" t="s">
        <v>912</v>
      </c>
      <c r="G475" s="673" t="s">
        <v>913</v>
      </c>
      <c r="I475" s="714" t="s">
        <v>934</v>
      </c>
      <c r="K475" s="707">
        <v>150</v>
      </c>
      <c r="M475" s="719">
        <v>4650</v>
      </c>
      <c r="O475" s="716">
        <v>10.0375</v>
      </c>
      <c r="Q475" s="708">
        <f t="shared" si="109"/>
        <v>1505.625</v>
      </c>
      <c r="S475" s="718">
        <v>0</v>
      </c>
      <c r="U475" s="718">
        <f t="shared" si="110"/>
        <v>0</v>
      </c>
      <c r="W475" s="708">
        <f t="shared" si="111"/>
        <v>1505.625</v>
      </c>
      <c r="Y475" s="699">
        <v>1.4E-3</v>
      </c>
      <c r="AA475" s="663">
        <f t="shared" si="112"/>
        <v>6.51</v>
      </c>
      <c r="AC475" s="673" t="s">
        <v>912</v>
      </c>
    </row>
    <row r="476" spans="1:29">
      <c r="A476" s="673">
        <v>412</v>
      </c>
      <c r="C476" s="713" t="s">
        <v>922</v>
      </c>
      <c r="E476" s="673" t="s">
        <v>912</v>
      </c>
      <c r="G476" s="673" t="s">
        <v>913</v>
      </c>
      <c r="I476" s="714" t="s">
        <v>935</v>
      </c>
      <c r="K476" s="707">
        <v>250</v>
      </c>
      <c r="M476" s="719">
        <v>7750</v>
      </c>
      <c r="O476" s="716">
        <v>10.0375</v>
      </c>
      <c r="Q476" s="708">
        <f t="shared" si="109"/>
        <v>2509.375</v>
      </c>
      <c r="S476" s="718">
        <v>0</v>
      </c>
      <c r="U476" s="718">
        <f t="shared" si="110"/>
        <v>0</v>
      </c>
      <c r="W476" s="708">
        <f t="shared" si="111"/>
        <v>2509.375</v>
      </c>
      <c r="Y476" s="699">
        <v>1.4E-3</v>
      </c>
      <c r="AA476" s="663">
        <f t="shared" si="112"/>
        <v>10.85</v>
      </c>
      <c r="AC476" s="673" t="s">
        <v>912</v>
      </c>
    </row>
    <row r="477" spans="1:29">
      <c r="A477" s="673">
        <v>413</v>
      </c>
      <c r="C477" s="713" t="s">
        <v>922</v>
      </c>
      <c r="E477" s="673" t="s">
        <v>912</v>
      </c>
      <c r="G477" s="673" t="s">
        <v>913</v>
      </c>
      <c r="I477" s="714" t="s">
        <v>936</v>
      </c>
      <c r="K477" s="707">
        <v>400</v>
      </c>
      <c r="M477" s="719">
        <v>12400</v>
      </c>
      <c r="O477" s="716">
        <v>10.0375</v>
      </c>
      <c r="Q477" s="708">
        <f t="shared" si="109"/>
        <v>4015</v>
      </c>
      <c r="S477" s="718">
        <v>0</v>
      </c>
      <c r="U477" s="718">
        <f t="shared" si="110"/>
        <v>0</v>
      </c>
      <c r="W477" s="708">
        <f t="shared" si="111"/>
        <v>4015</v>
      </c>
      <c r="Y477" s="699">
        <v>1.4E-3</v>
      </c>
      <c r="AA477" s="663">
        <f t="shared" si="112"/>
        <v>17.36</v>
      </c>
      <c r="AC477" s="673" t="s">
        <v>912</v>
      </c>
    </row>
    <row r="478" spans="1:29">
      <c r="A478" s="673">
        <v>414</v>
      </c>
      <c r="C478" s="713" t="s">
        <v>911</v>
      </c>
      <c r="E478" s="673" t="s">
        <v>912</v>
      </c>
      <c r="G478" s="673" t="s">
        <v>913</v>
      </c>
      <c r="I478" s="714" t="s">
        <v>937</v>
      </c>
      <c r="K478" s="707">
        <v>40000</v>
      </c>
      <c r="M478" s="715">
        <v>1142000</v>
      </c>
      <c r="O478" s="716">
        <v>10.0375</v>
      </c>
      <c r="Q478" s="708">
        <f t="shared" si="109"/>
        <v>401500</v>
      </c>
      <c r="S478" s="718">
        <v>0</v>
      </c>
      <c r="U478" s="718">
        <f t="shared" si="110"/>
        <v>0</v>
      </c>
      <c r="W478" s="708">
        <f t="shared" si="111"/>
        <v>401500</v>
      </c>
      <c r="Y478" s="699">
        <v>1.4E-3</v>
      </c>
      <c r="AA478" s="663">
        <f t="shared" si="112"/>
        <v>1598.8</v>
      </c>
      <c r="AC478" s="673" t="s">
        <v>912</v>
      </c>
    </row>
    <row r="479" spans="1:29">
      <c r="A479" s="673">
        <v>415</v>
      </c>
      <c r="C479" s="713" t="s">
        <v>990</v>
      </c>
      <c r="E479" s="673" t="s">
        <v>912</v>
      </c>
      <c r="G479" s="673" t="s">
        <v>913</v>
      </c>
      <c r="I479" s="714" t="s">
        <v>939</v>
      </c>
      <c r="K479" s="707">
        <v>800</v>
      </c>
      <c r="M479" s="719">
        <v>19793</v>
      </c>
      <c r="O479" s="716">
        <v>10.0375</v>
      </c>
      <c r="Q479" s="708">
        <f t="shared" si="109"/>
        <v>8030</v>
      </c>
      <c r="S479" s="718">
        <v>0</v>
      </c>
      <c r="U479" s="718">
        <f t="shared" si="110"/>
        <v>0</v>
      </c>
      <c r="W479" s="708">
        <f t="shared" si="111"/>
        <v>8030</v>
      </c>
      <c r="Y479" s="699">
        <v>1.4E-3</v>
      </c>
      <c r="AA479" s="663">
        <f t="shared" si="112"/>
        <v>27.7102</v>
      </c>
      <c r="AC479" s="673" t="s">
        <v>912</v>
      </c>
    </row>
    <row r="480" spans="1:29">
      <c r="A480" s="673">
        <v>416</v>
      </c>
      <c r="C480" s="713" t="s">
        <v>990</v>
      </c>
      <c r="E480" s="673" t="s">
        <v>912</v>
      </c>
      <c r="G480" s="673" t="s">
        <v>913</v>
      </c>
      <c r="I480" s="714" t="s">
        <v>940</v>
      </c>
      <c r="K480" s="707">
        <v>200</v>
      </c>
      <c r="M480" s="715">
        <v>0</v>
      </c>
      <c r="O480" s="716">
        <v>10.0375</v>
      </c>
      <c r="Q480" s="708">
        <f t="shared" si="109"/>
        <v>2007.5</v>
      </c>
      <c r="S480" s="718">
        <v>0</v>
      </c>
      <c r="U480" s="718">
        <f t="shared" si="110"/>
        <v>0</v>
      </c>
      <c r="W480" s="708">
        <f t="shared" si="111"/>
        <v>2007.5</v>
      </c>
      <c r="Y480" s="699">
        <v>1.4E-3</v>
      </c>
      <c r="AA480" s="663">
        <f t="shared" si="112"/>
        <v>0</v>
      </c>
      <c r="AC480" s="673" t="s">
        <v>912</v>
      </c>
    </row>
    <row r="481" spans="1:31">
      <c r="A481" s="673">
        <v>417</v>
      </c>
      <c r="C481" s="713" t="s">
        <v>990</v>
      </c>
      <c r="E481" s="673" t="s">
        <v>912</v>
      </c>
      <c r="G481" s="673" t="s">
        <v>913</v>
      </c>
      <c r="I481" s="714" t="s">
        <v>941</v>
      </c>
      <c r="K481" s="707">
        <v>400</v>
      </c>
      <c r="M481" s="715">
        <v>0</v>
      </c>
      <c r="O481" s="716">
        <v>10.0375</v>
      </c>
      <c r="Q481" s="708">
        <f t="shared" si="109"/>
        <v>4015</v>
      </c>
      <c r="S481" s="718">
        <v>0</v>
      </c>
      <c r="U481" s="718">
        <f t="shared" si="110"/>
        <v>0</v>
      </c>
      <c r="W481" s="708">
        <f t="shared" si="111"/>
        <v>4015</v>
      </c>
      <c r="Y481" s="699">
        <v>1.4E-3</v>
      </c>
      <c r="AA481" s="663">
        <f t="shared" si="112"/>
        <v>0</v>
      </c>
      <c r="AC481" s="673" t="s">
        <v>912</v>
      </c>
      <c r="AE481" s="705"/>
    </row>
    <row r="482" spans="1:31">
      <c r="A482" s="673">
        <v>418</v>
      </c>
      <c r="C482" s="700" t="s">
        <v>960</v>
      </c>
      <c r="K482" s="701">
        <f>SUM(K453:K481)</f>
        <v>208376</v>
      </c>
      <c r="M482" s="702">
        <f>SUM(M453:M481)</f>
        <v>4937585</v>
      </c>
      <c r="Q482" s="703">
        <f>SUM(Q453:Q481)</f>
        <v>2091574.1</v>
      </c>
      <c r="U482" s="703">
        <f>SUM(U453:U481)</f>
        <v>0</v>
      </c>
      <c r="W482" s="703">
        <f>SUM(W453:W481)</f>
        <v>2091574.1</v>
      </c>
      <c r="AA482" s="703">
        <f>SUM(AA453:AA481)</f>
        <v>6912.6189999999997</v>
      </c>
    </row>
    <row r="483" spans="1:31">
      <c r="C483" s="700" t="s">
        <v>961</v>
      </c>
    </row>
    <row r="484" spans="1:31">
      <c r="A484" s="673">
        <v>419</v>
      </c>
      <c r="C484" s="729" t="s">
        <v>958</v>
      </c>
      <c r="D484" s="682"/>
      <c r="E484" s="681" t="s">
        <v>912</v>
      </c>
      <c r="F484" s="681"/>
      <c r="G484" s="681" t="s">
        <v>970</v>
      </c>
      <c r="H484" s="682"/>
      <c r="I484" s="730" t="s">
        <v>996</v>
      </c>
      <c r="J484" s="682"/>
      <c r="K484" s="731">
        <v>0</v>
      </c>
      <c r="M484" s="719">
        <v>9216</v>
      </c>
      <c r="O484" s="716">
        <v>10.0375</v>
      </c>
      <c r="Q484" s="708">
        <f t="shared" ref="Q484:Q489" si="113">K484*O484</f>
        <v>0</v>
      </c>
      <c r="S484" s="718">
        <v>0</v>
      </c>
      <c r="U484" s="718">
        <f t="shared" ref="U484:U489" si="114">S484*M484</f>
        <v>0</v>
      </c>
      <c r="W484" s="708">
        <f t="shared" ref="W484:W489" si="115">Q484+U484</f>
        <v>0</v>
      </c>
      <c r="Y484" s="699">
        <v>1.4E-3</v>
      </c>
      <c r="AA484" s="663">
        <f t="shared" ref="AA484:AA489" si="116">Y484*M484</f>
        <v>12.9024</v>
      </c>
      <c r="AC484" s="673" t="s">
        <v>912</v>
      </c>
    </row>
    <row r="485" spans="1:31">
      <c r="A485" s="673">
        <v>420</v>
      </c>
      <c r="C485" s="729" t="s">
        <v>991</v>
      </c>
      <c r="D485" s="682"/>
      <c r="E485" s="681" t="s">
        <v>912</v>
      </c>
      <c r="F485" s="681"/>
      <c r="G485" s="681" t="s">
        <v>970</v>
      </c>
      <c r="H485" s="682"/>
      <c r="I485" s="730" t="s">
        <v>998</v>
      </c>
      <c r="J485" s="682"/>
      <c r="K485" s="731">
        <v>0</v>
      </c>
      <c r="M485" s="715">
        <v>219814</v>
      </c>
      <c r="O485" s="716">
        <v>10.0375</v>
      </c>
      <c r="Q485" s="708">
        <f t="shared" si="113"/>
        <v>0</v>
      </c>
      <c r="S485" s="718">
        <v>0</v>
      </c>
      <c r="U485" s="718">
        <f t="shared" si="114"/>
        <v>0</v>
      </c>
      <c r="W485" s="708">
        <f t="shared" si="115"/>
        <v>0</v>
      </c>
      <c r="Y485" s="699">
        <v>1.4E-3</v>
      </c>
      <c r="AA485" s="663">
        <f t="shared" si="116"/>
        <v>307.7396</v>
      </c>
      <c r="AC485" s="673" t="s">
        <v>912</v>
      </c>
    </row>
    <row r="486" spans="1:31">
      <c r="A486" s="673">
        <v>421</v>
      </c>
      <c r="C486" s="729" t="s">
        <v>932</v>
      </c>
      <c r="D486" s="682"/>
      <c r="E486" s="681" t="s">
        <v>912</v>
      </c>
      <c r="F486" s="681"/>
      <c r="G486" s="681" t="s">
        <v>970</v>
      </c>
      <c r="H486" s="682"/>
      <c r="I486" s="730" t="s">
        <v>999</v>
      </c>
      <c r="J486" s="682"/>
      <c r="K486" s="731">
        <v>0</v>
      </c>
      <c r="M486" s="719">
        <v>4650</v>
      </c>
      <c r="O486" s="716">
        <v>10.0375</v>
      </c>
      <c r="Q486" s="708">
        <f t="shared" si="113"/>
        <v>0</v>
      </c>
      <c r="S486" s="718">
        <v>0</v>
      </c>
      <c r="U486" s="718">
        <f t="shared" si="114"/>
        <v>0</v>
      </c>
      <c r="W486" s="708">
        <f t="shared" si="115"/>
        <v>0</v>
      </c>
      <c r="Y486" s="699">
        <v>1.4E-3</v>
      </c>
      <c r="AA486" s="663">
        <f t="shared" si="116"/>
        <v>6.51</v>
      </c>
      <c r="AC486" s="673" t="s">
        <v>912</v>
      </c>
    </row>
    <row r="487" spans="1:31">
      <c r="A487" s="673">
        <v>422</v>
      </c>
      <c r="C487" s="729" t="s">
        <v>972</v>
      </c>
      <c r="D487" s="682"/>
      <c r="E487" s="681" t="s">
        <v>912</v>
      </c>
      <c r="F487" s="681"/>
      <c r="G487" s="681" t="s">
        <v>962</v>
      </c>
      <c r="H487" s="682"/>
      <c r="I487" s="730" t="s">
        <v>973</v>
      </c>
      <c r="J487" s="682"/>
      <c r="K487" s="731">
        <v>150</v>
      </c>
      <c r="M487" s="715">
        <v>0</v>
      </c>
      <c r="O487" s="716">
        <v>10.0375</v>
      </c>
      <c r="Q487" s="708">
        <f t="shared" si="113"/>
        <v>1505.625</v>
      </c>
      <c r="S487" s="718">
        <v>0</v>
      </c>
      <c r="U487" s="718">
        <f t="shared" si="114"/>
        <v>0</v>
      </c>
      <c r="W487" s="708">
        <f t="shared" si="115"/>
        <v>1505.625</v>
      </c>
      <c r="Y487" s="699">
        <v>1.4E-3</v>
      </c>
      <c r="AA487" s="663">
        <f t="shared" si="116"/>
        <v>0</v>
      </c>
      <c r="AC487" s="673" t="s">
        <v>912</v>
      </c>
    </row>
    <row r="488" spans="1:31">
      <c r="A488" s="673">
        <v>423</v>
      </c>
      <c r="C488" s="729" t="s">
        <v>974</v>
      </c>
      <c r="D488" s="682"/>
      <c r="E488" s="681" t="s">
        <v>912</v>
      </c>
      <c r="F488" s="681"/>
      <c r="G488" s="681" t="s">
        <v>962</v>
      </c>
      <c r="H488" s="682"/>
      <c r="I488" s="730" t="s">
        <v>975</v>
      </c>
      <c r="J488" s="682"/>
      <c r="K488" s="731">
        <v>20000</v>
      </c>
      <c r="M488" s="715">
        <v>0</v>
      </c>
      <c r="O488" s="716">
        <v>10.0375</v>
      </c>
      <c r="Q488" s="708">
        <f t="shared" si="113"/>
        <v>200750</v>
      </c>
      <c r="S488" s="718">
        <v>0</v>
      </c>
      <c r="U488" s="718">
        <f t="shared" si="114"/>
        <v>0</v>
      </c>
      <c r="W488" s="708">
        <f t="shared" si="115"/>
        <v>200750</v>
      </c>
      <c r="Y488" s="699">
        <v>1.4E-3</v>
      </c>
      <c r="AA488" s="663">
        <f t="shared" si="116"/>
        <v>0</v>
      </c>
      <c r="AC488" s="673" t="s">
        <v>912</v>
      </c>
    </row>
    <row r="489" spans="1:31">
      <c r="A489" s="673">
        <v>424</v>
      </c>
      <c r="C489" s="729" t="s">
        <v>992</v>
      </c>
      <c r="D489" s="682"/>
      <c r="E489" s="681" t="s">
        <v>912</v>
      </c>
      <c r="F489" s="681"/>
      <c r="G489" s="681" t="s">
        <v>962</v>
      </c>
      <c r="H489" s="682"/>
      <c r="I489" s="730" t="s">
        <v>963</v>
      </c>
      <c r="J489" s="682"/>
      <c r="K489" s="731">
        <v>500</v>
      </c>
      <c r="M489" s="719">
        <v>6200</v>
      </c>
      <c r="O489" s="716">
        <v>10.0375</v>
      </c>
      <c r="Q489" s="708">
        <f t="shared" si="113"/>
        <v>5018.75</v>
      </c>
      <c r="S489" s="718">
        <v>0</v>
      </c>
      <c r="U489" s="718">
        <f t="shared" si="114"/>
        <v>0</v>
      </c>
      <c r="W489" s="708">
        <f t="shared" si="115"/>
        <v>5018.75</v>
      </c>
      <c r="Y489" s="699">
        <v>1.4E-3</v>
      </c>
      <c r="AA489" s="663">
        <f t="shared" si="116"/>
        <v>8.68</v>
      </c>
      <c r="AC489" s="673" t="s">
        <v>912</v>
      </c>
    </row>
    <row r="490" spans="1:31">
      <c r="A490" s="673">
        <v>425</v>
      </c>
      <c r="C490" s="683" t="s">
        <v>976</v>
      </c>
      <c r="K490" s="701">
        <f>SUM(K484:K489)</f>
        <v>20650</v>
      </c>
      <c r="M490" s="702">
        <f>SUM(M484:M489)</f>
        <v>239880</v>
      </c>
      <c r="Q490" s="703">
        <f>SUM(Q484:Q489)</f>
        <v>207274.375</v>
      </c>
      <c r="U490" s="703">
        <f>SUM(U484:U489)</f>
        <v>0</v>
      </c>
      <c r="W490" s="703">
        <f>SUM(W484:W489)</f>
        <v>207274.375</v>
      </c>
      <c r="AA490" s="703">
        <f>SUM(AA484:AA489)</f>
        <v>335.83199999999999</v>
      </c>
    </row>
    <row r="491" spans="1:31">
      <c r="C491" s="683" t="s">
        <v>877</v>
      </c>
      <c r="AE491" s="708"/>
    </row>
    <row r="492" spans="1:31">
      <c r="A492" s="673">
        <v>426</v>
      </c>
      <c r="C492" s="713" t="s">
        <v>932</v>
      </c>
      <c r="E492" s="673" t="s">
        <v>912</v>
      </c>
      <c r="G492" s="673" t="s">
        <v>977</v>
      </c>
      <c r="I492" s="714" t="s">
        <v>978</v>
      </c>
      <c r="K492" s="676">
        <v>0</v>
      </c>
      <c r="M492" s="715">
        <v>82544</v>
      </c>
      <c r="O492" s="732">
        <v>0</v>
      </c>
      <c r="Q492" s="708">
        <f t="shared" ref="Q492:Q495" si="117">K492*O492</f>
        <v>0</v>
      </c>
      <c r="S492" s="737">
        <v>0.33</v>
      </c>
      <c r="U492" s="717">
        <f t="shared" ref="U492:U495" si="118">S492*M492</f>
        <v>27239.52</v>
      </c>
      <c r="W492" s="708">
        <f t="shared" ref="W492:W495" si="119">Q492+U492</f>
        <v>27239.52</v>
      </c>
      <c r="Y492" s="699">
        <v>1.4E-3</v>
      </c>
      <c r="AA492" s="663">
        <f t="shared" ref="AA492:AA495" si="120">Y492*M492</f>
        <v>115.5616</v>
      </c>
      <c r="AC492" s="673" t="s">
        <v>912</v>
      </c>
    </row>
    <row r="493" spans="1:31">
      <c r="A493" s="673">
        <v>427</v>
      </c>
      <c r="C493" s="713" t="s">
        <v>952</v>
      </c>
      <c r="E493" s="673" t="s">
        <v>912</v>
      </c>
      <c r="G493" s="673" t="s">
        <v>977</v>
      </c>
      <c r="I493" s="714" t="s">
        <v>979</v>
      </c>
      <c r="K493" s="676">
        <v>0</v>
      </c>
      <c r="M493" s="719">
        <v>4555</v>
      </c>
      <c r="O493" s="732">
        <v>0</v>
      </c>
      <c r="Q493" s="708">
        <f t="shared" si="117"/>
        <v>0</v>
      </c>
      <c r="S493" s="737">
        <v>0.33</v>
      </c>
      <c r="U493" s="717">
        <f t="shared" si="118"/>
        <v>1503.15</v>
      </c>
      <c r="W493" s="708">
        <f t="shared" si="119"/>
        <v>1503.15</v>
      </c>
      <c r="Y493" s="699">
        <v>1.4E-3</v>
      </c>
      <c r="AA493" s="663">
        <f t="shared" si="120"/>
        <v>6.3769999999999998</v>
      </c>
      <c r="AC493" s="673" t="s">
        <v>912</v>
      </c>
    </row>
    <row r="494" spans="1:31">
      <c r="A494" s="673">
        <v>428</v>
      </c>
      <c r="C494" s="713" t="s">
        <v>980</v>
      </c>
      <c r="E494" s="673" t="s">
        <v>912</v>
      </c>
      <c r="G494" s="673" t="s">
        <v>977</v>
      </c>
      <c r="I494" s="714" t="s">
        <v>981</v>
      </c>
      <c r="K494" s="676">
        <v>0</v>
      </c>
      <c r="M494" s="719">
        <v>18406</v>
      </c>
      <c r="O494" s="732">
        <v>0</v>
      </c>
      <c r="Q494" s="708">
        <f t="shared" si="117"/>
        <v>0</v>
      </c>
      <c r="S494" s="737">
        <v>0.33</v>
      </c>
      <c r="U494" s="717">
        <f t="shared" si="118"/>
        <v>6073.9800000000005</v>
      </c>
      <c r="W494" s="708">
        <f t="shared" si="119"/>
        <v>6073.9800000000005</v>
      </c>
      <c r="Y494" s="699">
        <v>1.4E-3</v>
      </c>
      <c r="AA494" s="663">
        <f t="shared" si="120"/>
        <v>25.7684</v>
      </c>
      <c r="AC494" s="673" t="s">
        <v>912</v>
      </c>
    </row>
    <row r="495" spans="1:31">
      <c r="A495" s="673">
        <v>429</v>
      </c>
      <c r="C495" s="713" t="s">
        <v>942</v>
      </c>
      <c r="E495" s="673" t="s">
        <v>912</v>
      </c>
      <c r="G495" s="673" t="s">
        <v>977</v>
      </c>
      <c r="I495" s="714" t="s">
        <v>984</v>
      </c>
      <c r="K495" s="676">
        <v>0</v>
      </c>
      <c r="M495" s="719">
        <v>3800</v>
      </c>
      <c r="O495" s="732">
        <v>0</v>
      </c>
      <c r="Q495" s="708">
        <f t="shared" si="117"/>
        <v>0</v>
      </c>
      <c r="S495" s="737">
        <v>0.33</v>
      </c>
      <c r="U495" s="717">
        <f t="shared" si="118"/>
        <v>1254</v>
      </c>
      <c r="W495" s="708">
        <f t="shared" si="119"/>
        <v>1254</v>
      </c>
      <c r="Y495" s="699">
        <v>1.4E-3</v>
      </c>
      <c r="AA495" s="663">
        <f t="shared" si="120"/>
        <v>5.32</v>
      </c>
      <c r="AC495" s="673" t="s">
        <v>912</v>
      </c>
    </row>
    <row r="496" spans="1:31">
      <c r="A496" s="673">
        <v>430</v>
      </c>
      <c r="C496" s="683" t="s">
        <v>982</v>
      </c>
      <c r="K496" s="701">
        <f>SUM(K492:K495)</f>
        <v>0</v>
      </c>
      <c r="M496" s="702">
        <f>SUM(M492:M495)</f>
        <v>109305</v>
      </c>
      <c r="Q496" s="703">
        <f>SUM(Q492:Q495)</f>
        <v>0</v>
      </c>
      <c r="U496" s="703">
        <f>SUM(U492:U495)</f>
        <v>36070.65</v>
      </c>
      <c r="W496" s="703">
        <f>SUM(W492:W495)</f>
        <v>36070.65</v>
      </c>
      <c r="AA496" s="703">
        <f>SUM(AA492:AA495)</f>
        <v>153.02699999999999</v>
      </c>
    </row>
    <row r="497" spans="1:29">
      <c r="K497" s="753"/>
      <c r="M497" s="754"/>
      <c r="Q497" s="751"/>
      <c r="U497" s="751"/>
      <c r="W497" s="751"/>
    </row>
    <row r="498" spans="1:29">
      <c r="A498" s="673">
        <v>431</v>
      </c>
      <c r="C498" s="729" t="s">
        <v>1016</v>
      </c>
      <c r="K498" s="676">
        <f>K39+K87+K135+K173+K210+K247+K283+K319+K355+K391+K435+K482</f>
        <v>2469280</v>
      </c>
      <c r="L498" s="676"/>
      <c r="M498" s="676">
        <f>M39+M87+M135+M173+M210+M247+M283+M319+M355+M391+M435+M482</f>
        <v>38186128</v>
      </c>
      <c r="N498" s="676"/>
      <c r="O498" s="676"/>
      <c r="P498" s="676"/>
      <c r="Q498" s="755">
        <f>Q39+Q87+Q135+Q173+Q210+Q247+Q283+Q319+Q355+Q391+Q435+Q482</f>
        <v>24785398.000000004</v>
      </c>
      <c r="R498" s="676"/>
      <c r="S498" s="676"/>
      <c r="T498" s="676"/>
      <c r="U498" s="756">
        <f>U39+U87+U135+U173+U210+U247+U283+U319+U355+U391+U435+U482</f>
        <v>0</v>
      </c>
      <c r="V498" s="676"/>
      <c r="W498" s="755">
        <f>W39+W87+W135+W173+W210+W247+W283+W319+W355+W391+W435+W482</f>
        <v>24785398.000000004</v>
      </c>
      <c r="X498" s="755"/>
      <c r="Y498" s="755"/>
      <c r="Z498" s="755"/>
      <c r="AA498" s="755">
        <f t="shared" ref="AA498" si="121">AA39+AA87+AA135+AA173+AA210+AA247+AA283+AA319+AA355+AA391+AA435+AA482</f>
        <v>53460.579199999993</v>
      </c>
      <c r="AB498" s="755"/>
      <c r="AC498" s="755"/>
    </row>
    <row r="499" spans="1:29">
      <c r="A499" s="673">
        <v>432</v>
      </c>
      <c r="C499" s="729" t="s">
        <v>1017</v>
      </c>
      <c r="K499" s="676">
        <f>K49+K97+K145+K183+K220+K256+K292+K328+K364+K399+K443+K490</f>
        <v>247800</v>
      </c>
      <c r="L499" s="676"/>
      <c r="M499" s="676">
        <f>M49+M97+M145+M183+M220+M256+M292+M328+M364+M399+M443+M490</f>
        <v>3002777</v>
      </c>
      <c r="N499" s="676"/>
      <c r="O499" s="676"/>
      <c r="P499" s="676"/>
      <c r="Q499" s="755">
        <f>Q49+Q97+Q145+Q183+Q220+Q256+Q292+Q328+Q364+Q399+Q443+Q490</f>
        <v>2487292.5</v>
      </c>
      <c r="R499" s="676"/>
      <c r="S499" s="676"/>
      <c r="T499" s="676"/>
      <c r="U499" s="756">
        <f>U49+U97+U145+U183+U220+U256+U292+U328+U364+U399+U443+U490</f>
        <v>0</v>
      </c>
      <c r="V499" s="676"/>
      <c r="W499" s="755">
        <f>W49+W97+W145+W183+W220+W256+W292+W328+W364+W399+W443+W490</f>
        <v>2487292.5</v>
      </c>
      <c r="X499" s="755"/>
      <c r="Y499" s="755"/>
      <c r="Z499" s="755"/>
      <c r="AA499" s="755">
        <f t="shared" ref="AA499" si="122">AA49+AA97+AA145+AA183+AA220+AA256+AA292+AA328+AA364+AA399+AA443+AA490</f>
        <v>4203.8878000000004</v>
      </c>
      <c r="AB499" s="755"/>
      <c r="AC499" s="755"/>
    </row>
    <row r="500" spans="1:29">
      <c r="A500" s="673">
        <v>433</v>
      </c>
      <c r="C500" s="729" t="s">
        <v>1018</v>
      </c>
      <c r="K500" s="676">
        <f>K54+K102+K149+K186+K223+K259+K295+K331+K367+K402+K449+K496</f>
        <v>0</v>
      </c>
      <c r="L500" s="676"/>
      <c r="M500" s="676">
        <f>M54+M102+M149+M186+M223+M259+M295+M331+M367+M402+M449+M496</f>
        <v>648053</v>
      </c>
      <c r="N500" s="676"/>
      <c r="O500" s="676"/>
      <c r="P500" s="676"/>
      <c r="Q500" s="756">
        <f>Q54+Q102+Q149+Q186+Q223+Q259+Q295+Q331+Q367+Q402+Q449+Q496</f>
        <v>0</v>
      </c>
      <c r="R500" s="676"/>
      <c r="S500" s="676"/>
      <c r="T500" s="676"/>
      <c r="U500" s="755">
        <f>U54+U102+U149+U186+U223+U259+U295+U331+U367+U402+U449+U496</f>
        <v>213857.49000000002</v>
      </c>
      <c r="V500" s="676">
        <f>V54+V102+V149+V186+V223+V259+V295+V331+V367+V402+V449+V496</f>
        <v>0</v>
      </c>
      <c r="W500" s="755">
        <f>W54+W102+W149+W186+W223+W259+W295+W331+W367+W402+W449+W496</f>
        <v>213857.82</v>
      </c>
      <c r="X500" s="755"/>
      <c r="Y500" s="755"/>
      <c r="Z500" s="755"/>
      <c r="AA500" s="755">
        <f t="shared" ref="AA500" si="123">AA54+AA102+AA149+AA186+AA223+AA259+AA295+AA331+AA367+AA402+AA449+AA496</f>
        <v>907.27420000000006</v>
      </c>
      <c r="AB500" s="755"/>
      <c r="AC500" s="755"/>
    </row>
    <row r="501" spans="1:29" ht="15.75" thickBot="1">
      <c r="A501" s="673">
        <v>434</v>
      </c>
      <c r="C501" s="757" t="s">
        <v>1019</v>
      </c>
      <c r="D501" s="757"/>
      <c r="E501" s="757"/>
      <c r="F501" s="757"/>
      <c r="G501" s="757"/>
      <c r="H501" s="757"/>
      <c r="I501" s="757"/>
      <c r="J501" s="757"/>
      <c r="K501" s="758">
        <f>SUM(K498:K500)</f>
        <v>2717080</v>
      </c>
      <c r="L501" s="757"/>
      <c r="M501" s="758">
        <f>SUM(M498:M500)</f>
        <v>41836958</v>
      </c>
      <c r="N501" s="757"/>
      <c r="O501" s="757"/>
      <c r="P501" s="757"/>
      <c r="Q501" s="759">
        <f>SUM(Q498:Q500)</f>
        <v>27272690.500000004</v>
      </c>
      <c r="R501" s="757"/>
      <c r="S501" s="757"/>
      <c r="T501" s="757"/>
      <c r="U501" s="759">
        <f>SUM(U498:U500)</f>
        <v>213857.49000000002</v>
      </c>
      <c r="V501" s="757"/>
      <c r="W501" s="759">
        <f>SUM(W498:W500)</f>
        <v>27486548.320000004</v>
      </c>
      <c r="X501" s="759"/>
      <c r="Y501" s="759"/>
      <c r="Z501" s="759"/>
      <c r="AA501" s="759">
        <f t="shared" ref="AA501" si="124">SUM(AA498:AA500)</f>
        <v>58571.741199999989</v>
      </c>
      <c r="AB501" s="759"/>
      <c r="AC501" s="759"/>
    </row>
    <row r="502" spans="1:29" ht="15.75" thickTop="1"/>
    <row r="503" spans="1:29">
      <c r="K503" s="760"/>
    </row>
    <row r="504" spans="1:29">
      <c r="M504" s="761"/>
    </row>
    <row r="505" spans="1:29">
      <c r="Y505" s="699"/>
    </row>
    <row r="506" spans="1:29">
      <c r="Y506" s="699"/>
    </row>
    <row r="507" spans="1:29">
      <c r="Y507" s="699"/>
    </row>
    <row r="508" spans="1:29">
      <c r="Y508" s="699"/>
    </row>
    <row r="509" spans="1:29">
      <c r="Y509" s="699"/>
    </row>
    <row r="510" spans="1:29">
      <c r="Y510" s="699"/>
    </row>
    <row r="511" spans="1:29">
      <c r="Y511" s="699"/>
    </row>
    <row r="512" spans="1:29">
      <c r="Y512" s="699"/>
    </row>
    <row r="513" spans="25:25">
      <c r="Y513" s="699"/>
    </row>
    <row r="514" spans="25:25">
      <c r="Y514" s="699"/>
    </row>
    <row r="515" spans="25:25">
      <c r="Y515" s="699"/>
    </row>
    <row r="516" spans="25:25">
      <c r="Y516" s="699"/>
    </row>
    <row r="517" spans="25:25">
      <c r="Y517" s="699"/>
    </row>
    <row r="518" spans="25:25">
      <c r="Y518" s="699"/>
    </row>
    <row r="519" spans="25:25">
      <c r="Y519" s="699"/>
    </row>
    <row r="520" spans="25:25">
      <c r="Y520" s="699"/>
    </row>
    <row r="521" spans="25:25">
      <c r="Y521" s="699"/>
    </row>
    <row r="522" spans="25:25">
      <c r="Y522" s="699"/>
    </row>
    <row r="523" spans="25:25">
      <c r="Y523" s="699"/>
    </row>
    <row r="524" spans="25:25">
      <c r="Y524" s="699"/>
    </row>
    <row r="525" spans="25:25">
      <c r="Y525" s="699"/>
    </row>
    <row r="526" spans="25:25">
      <c r="Y526" s="699"/>
    </row>
    <row r="527" spans="25:25">
      <c r="Y527" s="699"/>
    </row>
    <row r="528" spans="25:25">
      <c r="Y528" s="699"/>
    </row>
    <row r="529" spans="25:25">
      <c r="Y529" s="699"/>
    </row>
    <row r="530" spans="25:25">
      <c r="Y530" s="699"/>
    </row>
    <row r="531" spans="25:25">
      <c r="Y531" s="699"/>
    </row>
    <row r="532" spans="25:25">
      <c r="Y532" s="699"/>
    </row>
    <row r="533" spans="25:25">
      <c r="Y533" s="699"/>
    </row>
    <row r="534" spans="25:25">
      <c r="Y534" s="699"/>
    </row>
    <row r="535" spans="25:25">
      <c r="Y535" s="699"/>
    </row>
    <row r="536" spans="25:25">
      <c r="Y536" s="699"/>
    </row>
    <row r="537" spans="25:25">
      <c r="Y537" s="699"/>
    </row>
    <row r="538" spans="25:25">
      <c r="Y538" s="699"/>
    </row>
    <row r="539" spans="25:25">
      <c r="Y539" s="699"/>
    </row>
    <row r="540" spans="25:25">
      <c r="Y540" s="699"/>
    </row>
    <row r="541" spans="25:25">
      <c r="Y541" s="699"/>
    </row>
    <row r="542" spans="25:25">
      <c r="Y542" s="699"/>
    </row>
    <row r="543" spans="25:25">
      <c r="Y543" s="699"/>
    </row>
    <row r="544" spans="25:25">
      <c r="Y544" s="699"/>
    </row>
    <row r="545" spans="25:25">
      <c r="Y545" s="699"/>
    </row>
    <row r="546" spans="25:25">
      <c r="Y546" s="699"/>
    </row>
    <row r="547" spans="25:25">
      <c r="Y547" s="699"/>
    </row>
    <row r="548" spans="25:25">
      <c r="Y548" s="699"/>
    </row>
    <row r="549" spans="25:25">
      <c r="Y549" s="699"/>
    </row>
    <row r="550" spans="25:25">
      <c r="Y550" s="699"/>
    </row>
    <row r="551" spans="25:25">
      <c r="Y551" s="699"/>
    </row>
    <row r="552" spans="25:25">
      <c r="Y552" s="699"/>
    </row>
    <row r="553" spans="25:25">
      <c r="Y553" s="699"/>
    </row>
    <row r="554" spans="25:25">
      <c r="Y554" s="699"/>
    </row>
    <row r="555" spans="25:25">
      <c r="Y555" s="699"/>
    </row>
    <row r="556" spans="25:25">
      <c r="Y556" s="699"/>
    </row>
    <row r="557" spans="25:25">
      <c r="Y557" s="699"/>
    </row>
    <row r="558" spans="25:25">
      <c r="Y558" s="699"/>
    </row>
    <row r="559" spans="25:25">
      <c r="Y559" s="699"/>
    </row>
    <row r="560" spans="25:25">
      <c r="Y560" s="699"/>
    </row>
    <row r="561" spans="25:25">
      <c r="Y561" s="699"/>
    </row>
    <row r="562" spans="25:25">
      <c r="Y562" s="699"/>
    </row>
    <row r="563" spans="25:25">
      <c r="Y563" s="699"/>
    </row>
    <row r="564" spans="25:25">
      <c r="Y564" s="699"/>
    </row>
    <row r="565" spans="25:25">
      <c r="Y565" s="699"/>
    </row>
    <row r="566" spans="25:25">
      <c r="Y566" s="699"/>
    </row>
    <row r="567" spans="25:25">
      <c r="Y567" s="699"/>
    </row>
    <row r="568" spans="25:25">
      <c r="Y568" s="699"/>
    </row>
    <row r="569" spans="25:25">
      <c r="Y569" s="699"/>
    </row>
    <row r="570" spans="25:25">
      <c r="Y570" s="699"/>
    </row>
    <row r="571" spans="25:25">
      <c r="Y571" s="699"/>
    </row>
    <row r="572" spans="25:25">
      <c r="Y572" s="699"/>
    </row>
    <row r="573" spans="25:25">
      <c r="Y573" s="699"/>
    </row>
    <row r="574" spans="25:25">
      <c r="Y574" s="699"/>
    </row>
    <row r="575" spans="25:25">
      <c r="Y575" s="699"/>
    </row>
    <row r="576" spans="25:25">
      <c r="Y576" s="699"/>
    </row>
    <row r="577" spans="25:25">
      <c r="Y577" s="699"/>
    </row>
    <row r="578" spans="25:25">
      <c r="Y578" s="699"/>
    </row>
    <row r="579" spans="25:25">
      <c r="Y579" s="699"/>
    </row>
    <row r="580" spans="25:25">
      <c r="Y580" s="699"/>
    </row>
    <row r="581" spans="25:25">
      <c r="Y581" s="699"/>
    </row>
    <row r="582" spans="25:25">
      <c r="Y582" s="699"/>
    </row>
    <row r="583" spans="25:25">
      <c r="Y583" s="699"/>
    </row>
    <row r="584" spans="25:25">
      <c r="Y584" s="699"/>
    </row>
    <row r="585" spans="25:25">
      <c r="Y585" s="699"/>
    </row>
    <row r="586" spans="25:25">
      <c r="Y586" s="699"/>
    </row>
    <row r="587" spans="25:25">
      <c r="Y587" s="699"/>
    </row>
    <row r="588" spans="25:25">
      <c r="Y588" s="699"/>
    </row>
    <row r="589" spans="25:25">
      <c r="Y589" s="699"/>
    </row>
    <row r="590" spans="25:25">
      <c r="Y590" s="699"/>
    </row>
    <row r="591" spans="25:25">
      <c r="Y591" s="699"/>
    </row>
    <row r="592" spans="25:25">
      <c r="Y592" s="699"/>
    </row>
    <row r="593" spans="25:25">
      <c r="Y593" s="699"/>
    </row>
    <row r="594" spans="25:25">
      <c r="Y594" s="699"/>
    </row>
    <row r="595" spans="25:25">
      <c r="Y595" s="699"/>
    </row>
    <row r="596" spans="25:25">
      <c r="Y596" s="699"/>
    </row>
    <row r="597" spans="25:25">
      <c r="Y597" s="699"/>
    </row>
    <row r="598" spans="25:25">
      <c r="Y598" s="699"/>
    </row>
    <row r="599" spans="25:25">
      <c r="Y599" s="699"/>
    </row>
    <row r="600" spans="25:25">
      <c r="Y600" s="699"/>
    </row>
    <row r="601" spans="25:25">
      <c r="Y601" s="699"/>
    </row>
    <row r="602" spans="25:25">
      <c r="Y602" s="699"/>
    </row>
    <row r="603" spans="25:25">
      <c r="Y603" s="699"/>
    </row>
    <row r="604" spans="25:25">
      <c r="Y604" s="699"/>
    </row>
    <row r="605" spans="25:25">
      <c r="Y605" s="699"/>
    </row>
    <row r="606" spans="25:25">
      <c r="Y606" s="699"/>
    </row>
    <row r="607" spans="25:25">
      <c r="Y607" s="699"/>
    </row>
    <row r="608" spans="25:25">
      <c r="Y608" s="699"/>
    </row>
    <row r="609" spans="25:25">
      <c r="Y609" s="699"/>
    </row>
    <row r="610" spans="25:25">
      <c r="Y610" s="699"/>
    </row>
    <row r="611" spans="25:25">
      <c r="Y611" s="699"/>
    </row>
    <row r="612" spans="25:25">
      <c r="Y612" s="699"/>
    </row>
    <row r="613" spans="25:25">
      <c r="Y613" s="699"/>
    </row>
    <row r="614" spans="25:25">
      <c r="Y614" s="699"/>
    </row>
    <row r="615" spans="25:25">
      <c r="Y615" s="699"/>
    </row>
    <row r="616" spans="25:25">
      <c r="Y616" s="699"/>
    </row>
    <row r="617" spans="25:25">
      <c r="Y617" s="699"/>
    </row>
    <row r="618" spans="25:25">
      <c r="Y618" s="699"/>
    </row>
    <row r="619" spans="25:25">
      <c r="Y619" s="699"/>
    </row>
    <row r="620" spans="25:25">
      <c r="Y620" s="699"/>
    </row>
    <row r="621" spans="25:25">
      <c r="Y621" s="699"/>
    </row>
    <row r="622" spans="25:25">
      <c r="Y622" s="699"/>
    </row>
    <row r="623" spans="25:25">
      <c r="Y623" s="699"/>
    </row>
    <row r="624" spans="25:25">
      <c r="Y624" s="699"/>
    </row>
    <row r="625" spans="25:25">
      <c r="Y625" s="699"/>
    </row>
    <row r="626" spans="25:25">
      <c r="Y626" s="699"/>
    </row>
    <row r="627" spans="25:25">
      <c r="Y627" s="699"/>
    </row>
    <row r="628" spans="25:25">
      <c r="Y628" s="699"/>
    </row>
    <row r="629" spans="25:25">
      <c r="Y629" s="699"/>
    </row>
    <row r="630" spans="25:25">
      <c r="Y630" s="699"/>
    </row>
    <row r="631" spans="25:25">
      <c r="Y631" s="699"/>
    </row>
    <row r="632" spans="25:25">
      <c r="Y632" s="699"/>
    </row>
    <row r="633" spans="25:25">
      <c r="Y633" s="699"/>
    </row>
    <row r="634" spans="25:25">
      <c r="Y634" s="699"/>
    </row>
    <row r="635" spans="25:25">
      <c r="Y635" s="699"/>
    </row>
    <row r="636" spans="25:25">
      <c r="Y636" s="699"/>
    </row>
    <row r="637" spans="25:25">
      <c r="Y637" s="699"/>
    </row>
    <row r="638" spans="25:25">
      <c r="Y638" s="699"/>
    </row>
    <row r="639" spans="25:25">
      <c r="Y639" s="699"/>
    </row>
    <row r="640" spans="25:25">
      <c r="Y640" s="699"/>
    </row>
    <row r="641" spans="25:25">
      <c r="Y641" s="699"/>
    </row>
    <row r="642" spans="25:25">
      <c r="Y642" s="699"/>
    </row>
    <row r="643" spans="25:25">
      <c r="Y643" s="699"/>
    </row>
    <row r="644" spans="25:25">
      <c r="Y644" s="699"/>
    </row>
    <row r="645" spans="25:25">
      <c r="Y645" s="699"/>
    </row>
    <row r="646" spans="25:25">
      <c r="Y646" s="699"/>
    </row>
    <row r="647" spans="25:25">
      <c r="Y647" s="699"/>
    </row>
    <row r="648" spans="25:25">
      <c r="Y648" s="699"/>
    </row>
    <row r="649" spans="25:25">
      <c r="Y649" s="699"/>
    </row>
    <row r="650" spans="25:25">
      <c r="Y650" s="699"/>
    </row>
    <row r="651" spans="25:25">
      <c r="Y651" s="699"/>
    </row>
    <row r="652" spans="25:25">
      <c r="Y652" s="699"/>
    </row>
    <row r="653" spans="25:25">
      <c r="Y653" s="699"/>
    </row>
    <row r="654" spans="25:25">
      <c r="Y654" s="699"/>
    </row>
    <row r="655" spans="25:25">
      <c r="Y655" s="699"/>
    </row>
    <row r="656" spans="25:25">
      <c r="Y656" s="699"/>
    </row>
    <row r="657" spans="25:25">
      <c r="Y657" s="699"/>
    </row>
    <row r="658" spans="25:25">
      <c r="Y658" s="699"/>
    </row>
    <row r="659" spans="25:25">
      <c r="Y659" s="699"/>
    </row>
    <row r="660" spans="25:25">
      <c r="Y660" s="699"/>
    </row>
    <row r="661" spans="25:25">
      <c r="Y661" s="699"/>
    </row>
    <row r="662" spans="25:25">
      <c r="Y662" s="699"/>
    </row>
    <row r="663" spans="25:25">
      <c r="Y663" s="699"/>
    </row>
    <row r="664" spans="25:25">
      <c r="Y664" s="699"/>
    </row>
    <row r="665" spans="25:25">
      <c r="Y665" s="699"/>
    </row>
    <row r="666" spans="25:25">
      <c r="Y666" s="699"/>
    </row>
    <row r="667" spans="25:25">
      <c r="Y667" s="699"/>
    </row>
    <row r="668" spans="25:25">
      <c r="Y668" s="699"/>
    </row>
    <row r="669" spans="25:25">
      <c r="Y669" s="699"/>
    </row>
    <row r="670" spans="25:25">
      <c r="Y670" s="699"/>
    </row>
    <row r="671" spans="25:25">
      <c r="Y671" s="699"/>
    </row>
    <row r="672" spans="25:25">
      <c r="Y672" s="699"/>
    </row>
    <row r="673" spans="25:25">
      <c r="Y673" s="699"/>
    </row>
    <row r="674" spans="25:25">
      <c r="Y674" s="699"/>
    </row>
    <row r="675" spans="25:25">
      <c r="Y675" s="699"/>
    </row>
    <row r="676" spans="25:25">
      <c r="Y676" s="699"/>
    </row>
    <row r="677" spans="25:25">
      <c r="Y677" s="699"/>
    </row>
    <row r="678" spans="25:25">
      <c r="Y678" s="699"/>
    </row>
    <row r="679" spans="25:25">
      <c r="Y679" s="699"/>
    </row>
    <row r="680" spans="25:25">
      <c r="Y680" s="699"/>
    </row>
    <row r="681" spans="25:25">
      <c r="Y681" s="699"/>
    </row>
    <row r="682" spans="25:25">
      <c r="Y682" s="699"/>
    </row>
    <row r="683" spans="25:25">
      <c r="Y683" s="699"/>
    </row>
    <row r="684" spans="25:25">
      <c r="Y684" s="699"/>
    </row>
    <row r="685" spans="25:25">
      <c r="Y685" s="699"/>
    </row>
    <row r="686" spans="25:25">
      <c r="Y686" s="699"/>
    </row>
    <row r="687" spans="25:25">
      <c r="Y687" s="699"/>
    </row>
    <row r="688" spans="25:25">
      <c r="Y688" s="699"/>
    </row>
    <row r="689" spans="25:25">
      <c r="Y689" s="699"/>
    </row>
    <row r="690" spans="25:25">
      <c r="Y690" s="699"/>
    </row>
  </sheetData>
  <autoFilter ref="G5:G504"/>
  <mergeCells count="3">
    <mergeCell ref="A1:AC1"/>
    <mergeCell ref="A2:AC2"/>
    <mergeCell ref="A3:AC3"/>
  </mergeCells>
  <pageMargins left="0.7" right="0.7" top="0.75" bottom="0.75" header="0.3" footer="0.3"/>
  <pageSetup scale="44" fitToHeight="0" orientation="landscape" useFirstPageNumber="1" r:id="rId1"/>
  <headerFooter>
    <oddHeader xml:space="preserve">&amp;LTuscarora Gas Transmission Company                            
Base Period Revenues                            
For the Twelve Months Ended December 31, 2015                            
&amp;RDocket No. RP16-299-000
Schedule G-1
&amp;P of 7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J475"/>
  <sheetViews>
    <sheetView view="pageLayout" topLeftCell="F1" zoomScaleNormal="100" workbookViewId="0">
      <selection activeCell="Y486" sqref="Y486:AA486"/>
    </sheetView>
  </sheetViews>
  <sheetFormatPr defaultRowHeight="15"/>
  <cols>
    <col min="1" max="1" width="5.85546875" style="763" customWidth="1"/>
    <col min="2" max="2" width="2.7109375" style="763" customWidth="1"/>
    <col min="3" max="3" width="73.140625" style="763" bestFit="1" customWidth="1"/>
    <col min="4" max="4" width="2.85546875" style="763" customWidth="1"/>
    <col min="5" max="5" width="9.7109375" style="764" customWidth="1"/>
    <col min="6" max="6" width="2.7109375" style="764" customWidth="1"/>
    <col min="7" max="7" width="12" style="764" customWidth="1"/>
    <col min="8" max="8" width="2.7109375" style="763" customWidth="1"/>
    <col min="9" max="9" width="11.42578125" style="764" customWidth="1"/>
    <col min="10" max="10" width="2.7109375" style="763" customWidth="1"/>
    <col min="11" max="11" width="15.42578125" style="767" bestFit="1" customWidth="1"/>
    <col min="12" max="12" width="2.7109375" style="763" customWidth="1"/>
    <col min="13" max="13" width="14.28515625" style="798" bestFit="1" customWidth="1"/>
    <col min="14" max="14" width="2.7109375" style="763" customWidth="1"/>
    <col min="15" max="15" width="12.5703125" style="763" customWidth="1"/>
    <col min="16" max="16" width="2.7109375" style="763" customWidth="1"/>
    <col min="17" max="17" width="15.28515625" style="763" bestFit="1" customWidth="1"/>
    <col min="18" max="18" width="2.7109375" style="763" customWidth="1"/>
    <col min="19" max="19" width="10.140625" style="763" customWidth="1"/>
    <col min="20" max="20" width="2.7109375" style="763" customWidth="1"/>
    <col min="21" max="21" width="13.140625" style="763" customWidth="1"/>
    <col min="22" max="22" width="2.5703125" style="763" customWidth="1"/>
    <col min="23" max="23" width="17.42578125" style="763" bestFit="1" customWidth="1"/>
    <col min="24" max="24" width="2.7109375" style="763" customWidth="1"/>
    <col min="25" max="25" width="9.42578125" style="763" customWidth="1"/>
    <col min="26" max="26" width="2.7109375" style="763" customWidth="1"/>
    <col min="27" max="27" width="11.28515625" style="763" customWidth="1"/>
    <col min="28" max="28" width="2.7109375" style="763" customWidth="1"/>
    <col min="29" max="29" width="11.140625" style="763" customWidth="1"/>
    <col min="30" max="30" width="9.140625" style="763"/>
    <col min="31" max="31" width="2.7109375" style="763" customWidth="1"/>
    <col min="32" max="32" width="14.28515625" style="763" bestFit="1" customWidth="1"/>
    <col min="33" max="33" width="11.5703125" style="763" bestFit="1" customWidth="1"/>
    <col min="34" max="16384" width="9.140625" style="763"/>
  </cols>
  <sheetData>
    <row r="1" spans="1:34">
      <c r="A1" s="944"/>
      <c r="B1" s="944"/>
      <c r="C1" s="944"/>
      <c r="D1" s="944"/>
      <c r="E1" s="944"/>
      <c r="F1" s="944"/>
      <c r="G1" s="944"/>
      <c r="H1" s="944"/>
      <c r="I1" s="944"/>
      <c r="J1" s="944"/>
      <c r="K1" s="944"/>
      <c r="L1" s="944"/>
      <c r="M1" s="944"/>
      <c r="N1" s="944"/>
      <c r="O1" s="944"/>
      <c r="P1" s="944"/>
      <c r="Q1" s="944"/>
      <c r="R1" s="944"/>
      <c r="S1" s="944"/>
      <c r="T1" s="944"/>
      <c r="U1" s="944"/>
      <c r="V1" s="944"/>
      <c r="W1" s="944"/>
      <c r="X1" s="944"/>
      <c r="Y1" s="944"/>
      <c r="Z1" s="944"/>
      <c r="AA1" s="944"/>
      <c r="AB1" s="944"/>
      <c r="AC1" s="944"/>
    </row>
    <row r="2" spans="1:34">
      <c r="A2" s="944"/>
      <c r="B2" s="944"/>
      <c r="C2" s="944"/>
      <c r="D2" s="944"/>
      <c r="E2" s="944"/>
      <c r="F2" s="944"/>
      <c r="G2" s="944"/>
      <c r="H2" s="944"/>
      <c r="I2" s="944"/>
      <c r="J2" s="944"/>
      <c r="K2" s="944"/>
      <c r="L2" s="944"/>
      <c r="M2" s="944"/>
      <c r="N2" s="944"/>
      <c r="O2" s="944"/>
      <c r="P2" s="944"/>
      <c r="Q2" s="944"/>
      <c r="R2" s="944"/>
      <c r="S2" s="944"/>
      <c r="T2" s="944"/>
      <c r="U2" s="944"/>
      <c r="V2" s="944"/>
      <c r="W2" s="944"/>
      <c r="X2" s="944"/>
      <c r="Y2" s="944"/>
      <c r="Z2" s="944"/>
      <c r="AA2" s="944"/>
      <c r="AB2" s="944"/>
      <c r="AC2" s="944"/>
    </row>
    <row r="3" spans="1:34">
      <c r="A3" s="944"/>
      <c r="B3" s="944"/>
      <c r="C3" s="944"/>
      <c r="D3" s="944"/>
      <c r="E3" s="944"/>
      <c r="F3" s="944"/>
      <c r="G3" s="944"/>
      <c r="H3" s="944"/>
      <c r="I3" s="944"/>
      <c r="J3" s="944"/>
      <c r="K3" s="944"/>
      <c r="L3" s="944"/>
      <c r="M3" s="944"/>
      <c r="N3" s="944"/>
      <c r="O3" s="944"/>
      <c r="P3" s="944"/>
      <c r="Q3" s="944"/>
      <c r="R3" s="944"/>
      <c r="S3" s="944"/>
      <c r="T3" s="944"/>
      <c r="U3" s="944"/>
      <c r="V3" s="944"/>
      <c r="W3" s="944"/>
      <c r="X3" s="944"/>
      <c r="Y3" s="944"/>
      <c r="Z3" s="944"/>
      <c r="AA3" s="944"/>
      <c r="AB3" s="944"/>
      <c r="AC3" s="944"/>
    </row>
    <row r="5" spans="1:34" ht="29.25" customHeight="1">
      <c r="A5" s="762" t="s">
        <v>854</v>
      </c>
      <c r="C5" s="762" t="s">
        <v>902</v>
      </c>
      <c r="E5" s="762" t="s">
        <v>903</v>
      </c>
      <c r="G5" s="762" t="s">
        <v>873</v>
      </c>
      <c r="I5" s="762" t="s">
        <v>904</v>
      </c>
      <c r="K5" s="765" t="s">
        <v>895</v>
      </c>
      <c r="M5" s="765" t="s">
        <v>905</v>
      </c>
      <c r="O5" s="762" t="s">
        <v>906</v>
      </c>
      <c r="Q5" s="762" t="s">
        <v>891</v>
      </c>
      <c r="S5" s="762" t="s">
        <v>907</v>
      </c>
      <c r="U5" s="762" t="s">
        <v>892</v>
      </c>
      <c r="W5" s="762" t="s">
        <v>893</v>
      </c>
      <c r="Y5" s="766" t="s">
        <v>908</v>
      </c>
      <c r="AA5" s="766" t="s">
        <v>1020</v>
      </c>
      <c r="AB5" s="766"/>
      <c r="AC5" s="766" t="s">
        <v>909</v>
      </c>
    </row>
    <row r="6" spans="1:34" s="764" customFormat="1">
      <c r="C6" s="764" t="s">
        <v>361</v>
      </c>
      <c r="E6" s="764" t="s">
        <v>362</v>
      </c>
      <c r="G6" s="764" t="s">
        <v>366</v>
      </c>
      <c r="I6" s="764" t="s">
        <v>363</v>
      </c>
      <c r="K6" s="767" t="s">
        <v>364</v>
      </c>
      <c r="M6" s="767" t="s">
        <v>379</v>
      </c>
      <c r="O6" s="764" t="s">
        <v>380</v>
      </c>
      <c r="Q6" s="764" t="s">
        <v>403</v>
      </c>
      <c r="S6" s="764" t="s">
        <v>404</v>
      </c>
      <c r="U6" s="764" t="s">
        <v>351</v>
      </c>
      <c r="W6" s="764" t="s">
        <v>250</v>
      </c>
    </row>
    <row r="8" spans="1:34">
      <c r="C8" s="768" t="s">
        <v>910</v>
      </c>
      <c r="D8" s="768"/>
      <c r="E8" s="768"/>
      <c r="F8" s="768"/>
      <c r="G8" s="768"/>
      <c r="H8" s="768"/>
      <c r="I8" s="768"/>
      <c r="J8" s="768"/>
      <c r="K8" s="768"/>
      <c r="L8" s="768"/>
      <c r="M8" s="768"/>
      <c r="N8" s="768"/>
      <c r="O8" s="768"/>
      <c r="P8" s="768"/>
      <c r="Q8" s="768"/>
      <c r="R8" s="768"/>
      <c r="S8" s="768"/>
      <c r="T8" s="768"/>
      <c r="U8" s="768"/>
      <c r="V8" s="768"/>
      <c r="W8" s="768"/>
      <c r="X8" s="768"/>
      <c r="Y8" s="768"/>
      <c r="Z8" s="768"/>
      <c r="AA8" s="768"/>
      <c r="AB8" s="768"/>
      <c r="AC8" s="768"/>
    </row>
    <row r="9" spans="1:34" s="769" customFormat="1">
      <c r="C9" s="770" t="s">
        <v>876</v>
      </c>
      <c r="D9" s="771"/>
      <c r="E9" s="772"/>
      <c r="F9" s="772"/>
      <c r="G9" s="772"/>
      <c r="H9" s="771"/>
      <c r="I9" s="772"/>
      <c r="J9" s="771"/>
      <c r="K9" s="773"/>
      <c r="L9" s="771"/>
      <c r="M9" s="774"/>
      <c r="N9" s="771"/>
      <c r="O9" s="771"/>
      <c r="P9" s="771"/>
      <c r="Q9" s="771"/>
      <c r="R9" s="771"/>
      <c r="S9" s="771"/>
      <c r="T9" s="771"/>
      <c r="U9" s="771"/>
      <c r="V9" s="771"/>
      <c r="W9" s="771"/>
      <c r="X9" s="771"/>
      <c r="Y9" s="771"/>
      <c r="Z9" s="771"/>
      <c r="AA9" s="771"/>
      <c r="AB9" s="771"/>
      <c r="AC9" s="771"/>
    </row>
    <row r="10" spans="1:34">
      <c r="A10" s="763">
        <v>1</v>
      </c>
      <c r="C10" s="775" t="s">
        <v>911</v>
      </c>
      <c r="D10" s="776"/>
      <c r="E10" s="777" t="s">
        <v>912</v>
      </c>
      <c r="F10" s="777"/>
      <c r="G10" s="777" t="s">
        <v>913</v>
      </c>
      <c r="H10" s="776"/>
      <c r="I10" s="778" t="s">
        <v>914</v>
      </c>
      <c r="J10" s="776"/>
      <c r="K10" s="779">
        <v>105750</v>
      </c>
      <c r="L10" s="780"/>
      <c r="M10" s="781">
        <v>1738143</v>
      </c>
      <c r="N10" s="776"/>
      <c r="O10" s="782">
        <f>'J-2'!$G$26*365/12</f>
        <v>9.9888333333333339</v>
      </c>
      <c r="P10" s="776"/>
      <c r="Q10" s="783">
        <f>K10*O10</f>
        <v>1056319.125</v>
      </c>
      <c r="R10" s="776"/>
      <c r="S10" s="784">
        <f>'J-2'!$I$26</f>
        <v>3.0999999999999999E-3</v>
      </c>
      <c r="T10" s="776"/>
      <c r="U10" s="785">
        <f>S10*M10</f>
        <v>5388.2433000000001</v>
      </c>
      <c r="V10" s="776"/>
      <c r="W10" s="783">
        <f>U10+Q10</f>
        <v>1061707.3683</v>
      </c>
      <c r="Y10" s="786">
        <v>1.4E-3</v>
      </c>
      <c r="AA10" s="787">
        <f>Y10*M10</f>
        <v>2433.4002</v>
      </c>
      <c r="AC10" s="764" t="s">
        <v>912</v>
      </c>
    </row>
    <row r="11" spans="1:34">
      <c r="A11" s="763">
        <f>IF(OR(K11/2&gt;0,M11/2&gt;0),A10+1,"")</f>
        <v>2</v>
      </c>
      <c r="C11" s="775" t="s">
        <v>915</v>
      </c>
      <c r="D11" s="776"/>
      <c r="E11" s="777" t="s">
        <v>912</v>
      </c>
      <c r="F11" s="777"/>
      <c r="G11" s="777" t="s">
        <v>913</v>
      </c>
      <c r="H11" s="776"/>
      <c r="I11" s="778" t="s">
        <v>916</v>
      </c>
      <c r="J11" s="776"/>
      <c r="K11" s="779">
        <v>200</v>
      </c>
      <c r="L11" s="780"/>
      <c r="M11" s="781">
        <v>2010</v>
      </c>
      <c r="N11" s="776"/>
      <c r="O11" s="782">
        <f>'J-2'!$G$26*365/12</f>
        <v>9.9888333333333339</v>
      </c>
      <c r="P11" s="776"/>
      <c r="Q11" s="783">
        <f t="shared" ref="Q11:Q30" si="0">K11*O11</f>
        <v>1997.7666666666669</v>
      </c>
      <c r="R11" s="776"/>
      <c r="S11" s="784">
        <f>'J-2'!$I$26</f>
        <v>3.0999999999999999E-3</v>
      </c>
      <c r="T11" s="776"/>
      <c r="U11" s="785">
        <f t="shared" ref="U11:U30" si="1">S11*M11</f>
        <v>6.2309999999999999</v>
      </c>
      <c r="V11" s="776"/>
      <c r="W11" s="783">
        <f t="shared" ref="W11:W30" si="2">U11+Q11</f>
        <v>2003.9976666666669</v>
      </c>
      <c r="Y11" s="786">
        <v>1.4E-3</v>
      </c>
      <c r="AA11" s="787">
        <f t="shared" ref="AA11:AA30" si="3">Y11*M11</f>
        <v>2.8140000000000001</v>
      </c>
      <c r="AC11" s="764" t="s">
        <v>912</v>
      </c>
    </row>
    <row r="12" spans="1:34">
      <c r="A12" s="763">
        <f t="shared" ref="A12:A75" si="4">IF(OR(K12/2&gt;0,M12/2&gt;0),A11+1,"")</f>
        <v>3</v>
      </c>
      <c r="C12" s="775" t="s">
        <v>917</v>
      </c>
      <c r="D12" s="776"/>
      <c r="E12" s="777" t="s">
        <v>912</v>
      </c>
      <c r="F12" s="777"/>
      <c r="G12" s="777" t="s">
        <v>913</v>
      </c>
      <c r="H12" s="776"/>
      <c r="I12" s="778" t="s">
        <v>918</v>
      </c>
      <c r="J12" s="776"/>
      <c r="K12" s="779">
        <v>1200</v>
      </c>
      <c r="L12" s="780"/>
      <c r="M12" s="781">
        <v>21793</v>
      </c>
      <c r="N12" s="776"/>
      <c r="O12" s="782">
        <f>'J-2'!$G$26*365/12</f>
        <v>9.9888333333333339</v>
      </c>
      <c r="P12" s="776"/>
      <c r="Q12" s="783">
        <f t="shared" si="0"/>
        <v>11986.6</v>
      </c>
      <c r="R12" s="776"/>
      <c r="S12" s="784">
        <f>'J-2'!$I$26</f>
        <v>3.0999999999999999E-3</v>
      </c>
      <c r="T12" s="776"/>
      <c r="U12" s="785">
        <f t="shared" si="1"/>
        <v>67.558300000000003</v>
      </c>
      <c r="V12" s="776"/>
      <c r="W12" s="783">
        <f t="shared" si="2"/>
        <v>12054.158300000001</v>
      </c>
      <c r="Y12" s="786">
        <v>1.4E-3</v>
      </c>
      <c r="AA12" s="787">
        <f t="shared" si="3"/>
        <v>30.510200000000001</v>
      </c>
      <c r="AC12" s="764" t="s">
        <v>912</v>
      </c>
    </row>
    <row r="13" spans="1:34">
      <c r="A13" s="763">
        <f t="shared" si="4"/>
        <v>4</v>
      </c>
      <c r="C13" s="775" t="s">
        <v>919</v>
      </c>
      <c r="D13" s="776"/>
      <c r="E13" s="777" t="s">
        <v>912</v>
      </c>
      <c r="F13" s="777"/>
      <c r="G13" s="777" t="s">
        <v>913</v>
      </c>
      <c r="H13" s="776"/>
      <c r="I13" s="778" t="s">
        <v>920</v>
      </c>
      <c r="J13" s="776"/>
      <c r="K13" s="779">
        <v>1550</v>
      </c>
      <c r="L13" s="780"/>
      <c r="M13" s="781">
        <v>0</v>
      </c>
      <c r="N13" s="776"/>
      <c r="O13" s="782">
        <f>'J-2'!$G$26*365/12</f>
        <v>9.9888333333333339</v>
      </c>
      <c r="P13" s="776"/>
      <c r="Q13" s="783">
        <f t="shared" si="0"/>
        <v>15482.691666666668</v>
      </c>
      <c r="R13" s="776"/>
      <c r="S13" s="784">
        <f>'J-2'!$I$26</f>
        <v>3.0999999999999999E-3</v>
      </c>
      <c r="T13" s="776"/>
      <c r="U13" s="785">
        <f t="shared" si="1"/>
        <v>0</v>
      </c>
      <c r="V13" s="776"/>
      <c r="W13" s="783">
        <f t="shared" si="2"/>
        <v>15482.691666666668</v>
      </c>
      <c r="Y13" s="786">
        <v>1.4E-3</v>
      </c>
      <c r="AA13" s="787">
        <f t="shared" si="3"/>
        <v>0</v>
      </c>
      <c r="AC13" s="764" t="s">
        <v>912</v>
      </c>
    </row>
    <row r="14" spans="1:34">
      <c r="A14" s="763">
        <f t="shared" si="4"/>
        <v>5</v>
      </c>
      <c r="C14" s="775" t="s">
        <v>911</v>
      </c>
      <c r="D14" s="776"/>
      <c r="E14" s="777" t="s">
        <v>912</v>
      </c>
      <c r="F14" s="777"/>
      <c r="G14" s="777" t="s">
        <v>913</v>
      </c>
      <c r="H14" s="776"/>
      <c r="I14" s="778" t="s">
        <v>921</v>
      </c>
      <c r="J14" s="776"/>
      <c r="K14" s="779">
        <v>10000</v>
      </c>
      <c r="L14" s="780"/>
      <c r="M14" s="781">
        <v>310000</v>
      </c>
      <c r="N14" s="776"/>
      <c r="O14" s="782">
        <f>'J-2'!$G$26*365/12</f>
        <v>9.9888333333333339</v>
      </c>
      <c r="P14" s="776"/>
      <c r="Q14" s="783">
        <f t="shared" si="0"/>
        <v>99888.333333333343</v>
      </c>
      <c r="R14" s="776"/>
      <c r="S14" s="784">
        <f>'J-2'!$I$26</f>
        <v>3.0999999999999999E-3</v>
      </c>
      <c r="T14" s="776"/>
      <c r="U14" s="785">
        <f t="shared" si="1"/>
        <v>961</v>
      </c>
      <c r="V14" s="776"/>
      <c r="W14" s="783">
        <f t="shared" si="2"/>
        <v>100849.33333333334</v>
      </c>
      <c r="Y14" s="786">
        <v>1.4E-3</v>
      </c>
      <c r="AA14" s="787">
        <f t="shared" si="3"/>
        <v>434</v>
      </c>
      <c r="AC14" s="764" t="s">
        <v>912</v>
      </c>
    </row>
    <row r="15" spans="1:34">
      <c r="A15" s="763">
        <f t="shared" si="4"/>
        <v>6</v>
      </c>
      <c r="C15" s="775" t="s">
        <v>922</v>
      </c>
      <c r="D15" s="776"/>
      <c r="E15" s="777" t="s">
        <v>912</v>
      </c>
      <c r="F15" s="777"/>
      <c r="G15" s="777" t="s">
        <v>913</v>
      </c>
      <c r="H15" s="776"/>
      <c r="I15" s="778" t="s">
        <v>923</v>
      </c>
      <c r="J15" s="776"/>
      <c r="K15" s="779">
        <v>200</v>
      </c>
      <c r="L15" s="780"/>
      <c r="M15" s="781">
        <v>4200</v>
      </c>
      <c r="N15" s="776"/>
      <c r="O15" s="782">
        <f>'J-2'!$G$26*365/12</f>
        <v>9.9888333333333339</v>
      </c>
      <c r="P15" s="776"/>
      <c r="Q15" s="783">
        <f t="shared" si="0"/>
        <v>1997.7666666666669</v>
      </c>
      <c r="R15" s="776"/>
      <c r="S15" s="784">
        <f>'J-2'!$I$26</f>
        <v>3.0999999999999999E-3</v>
      </c>
      <c r="T15" s="776"/>
      <c r="U15" s="785">
        <f t="shared" si="1"/>
        <v>13.02</v>
      </c>
      <c r="V15" s="776"/>
      <c r="W15" s="783">
        <f t="shared" si="2"/>
        <v>2010.7866666666669</v>
      </c>
      <c r="Y15" s="786">
        <v>1.4E-3</v>
      </c>
      <c r="AA15" s="787">
        <f t="shared" si="3"/>
        <v>5.88</v>
      </c>
      <c r="AC15" s="764" t="s">
        <v>912</v>
      </c>
    </row>
    <row r="16" spans="1:34">
      <c r="A16" s="763">
        <f t="shared" si="4"/>
        <v>7</v>
      </c>
      <c r="C16" s="775" t="s">
        <v>924</v>
      </c>
      <c r="D16" s="776"/>
      <c r="E16" s="777" t="s">
        <v>912</v>
      </c>
      <c r="F16" s="777"/>
      <c r="G16" s="777" t="s">
        <v>913</v>
      </c>
      <c r="H16" s="776"/>
      <c r="I16" s="778" t="s">
        <v>925</v>
      </c>
      <c r="J16" s="776"/>
      <c r="K16" s="779">
        <v>550</v>
      </c>
      <c r="L16" s="780"/>
      <c r="M16" s="781">
        <v>17050</v>
      </c>
      <c r="N16" s="776"/>
      <c r="O16" s="782">
        <f>'J-2'!$G$26*365/12</f>
        <v>9.9888333333333339</v>
      </c>
      <c r="P16" s="776"/>
      <c r="Q16" s="783">
        <f t="shared" si="0"/>
        <v>5493.8583333333336</v>
      </c>
      <c r="R16" s="776"/>
      <c r="S16" s="784">
        <f>'J-2'!$I$26</f>
        <v>3.0999999999999999E-3</v>
      </c>
      <c r="T16" s="776"/>
      <c r="U16" s="785">
        <f t="shared" si="1"/>
        <v>52.854999999999997</v>
      </c>
      <c r="V16" s="776"/>
      <c r="W16" s="783">
        <f t="shared" si="2"/>
        <v>5546.7133333333331</v>
      </c>
      <c r="Y16" s="786">
        <v>1.4E-3</v>
      </c>
      <c r="AA16" s="787">
        <f t="shared" si="3"/>
        <v>23.87</v>
      </c>
      <c r="AC16" s="764" t="s">
        <v>912</v>
      </c>
      <c r="AH16" s="788"/>
    </row>
    <row r="17" spans="1:29">
      <c r="A17" s="763">
        <f t="shared" si="4"/>
        <v>8</v>
      </c>
      <c r="C17" s="775" t="s">
        <v>911</v>
      </c>
      <c r="D17" s="776"/>
      <c r="E17" s="777" t="s">
        <v>912</v>
      </c>
      <c r="F17" s="777"/>
      <c r="G17" s="777" t="s">
        <v>913</v>
      </c>
      <c r="H17" s="776"/>
      <c r="I17" s="778" t="s">
        <v>926</v>
      </c>
      <c r="J17" s="776"/>
      <c r="K17" s="779">
        <v>5661</v>
      </c>
      <c r="L17" s="780"/>
      <c r="M17" s="781">
        <v>175491</v>
      </c>
      <c r="N17" s="776"/>
      <c r="O17" s="782">
        <f>'J-2'!$G$26*365/12</f>
        <v>9.9888333333333339</v>
      </c>
      <c r="P17" s="776"/>
      <c r="Q17" s="783">
        <f t="shared" si="0"/>
        <v>56546.785500000005</v>
      </c>
      <c r="R17" s="776"/>
      <c r="S17" s="784">
        <f>'J-2'!$I$26</f>
        <v>3.0999999999999999E-3</v>
      </c>
      <c r="T17" s="776"/>
      <c r="U17" s="785">
        <f t="shared" si="1"/>
        <v>544.02210000000002</v>
      </c>
      <c r="V17" s="776"/>
      <c r="W17" s="783">
        <f t="shared" si="2"/>
        <v>57090.807600000007</v>
      </c>
      <c r="Y17" s="786">
        <v>1.4E-3</v>
      </c>
      <c r="AA17" s="787">
        <f t="shared" si="3"/>
        <v>245.6874</v>
      </c>
      <c r="AC17" s="764" t="s">
        <v>912</v>
      </c>
    </row>
    <row r="18" spans="1:29">
      <c r="A18" s="763">
        <f t="shared" si="4"/>
        <v>9</v>
      </c>
      <c r="C18" s="775" t="s">
        <v>911</v>
      </c>
      <c r="D18" s="776"/>
      <c r="E18" s="777" t="s">
        <v>912</v>
      </c>
      <c r="F18" s="777"/>
      <c r="G18" s="777" t="s">
        <v>913</v>
      </c>
      <c r="H18" s="776"/>
      <c r="I18" s="778" t="s">
        <v>927</v>
      </c>
      <c r="J18" s="776"/>
      <c r="K18" s="779">
        <v>5690</v>
      </c>
      <c r="L18" s="780"/>
      <c r="M18" s="781">
        <v>176390</v>
      </c>
      <c r="N18" s="776"/>
      <c r="O18" s="782">
        <f>'J-2'!$G$26*365/12</f>
        <v>9.9888333333333339</v>
      </c>
      <c r="P18" s="776"/>
      <c r="Q18" s="783">
        <f t="shared" si="0"/>
        <v>56836.46166666667</v>
      </c>
      <c r="R18" s="776"/>
      <c r="S18" s="784">
        <f>'J-2'!$I$26</f>
        <v>3.0999999999999999E-3</v>
      </c>
      <c r="T18" s="776"/>
      <c r="U18" s="785">
        <f t="shared" si="1"/>
        <v>546.80899999999997</v>
      </c>
      <c r="V18" s="776"/>
      <c r="W18" s="783">
        <f t="shared" si="2"/>
        <v>57383.270666666671</v>
      </c>
      <c r="Y18" s="786">
        <v>1.4E-3</v>
      </c>
      <c r="AA18" s="787">
        <f t="shared" si="3"/>
        <v>246.946</v>
      </c>
      <c r="AC18" s="764" t="s">
        <v>912</v>
      </c>
    </row>
    <row r="19" spans="1:29">
      <c r="A19" s="763">
        <f t="shared" si="4"/>
        <v>10</v>
      </c>
      <c r="C19" s="775" t="s">
        <v>928</v>
      </c>
      <c r="D19" s="776"/>
      <c r="E19" s="777" t="s">
        <v>912</v>
      </c>
      <c r="F19" s="777"/>
      <c r="G19" s="777" t="s">
        <v>913</v>
      </c>
      <c r="H19" s="776"/>
      <c r="I19" s="778" t="s">
        <v>929</v>
      </c>
      <c r="J19" s="776"/>
      <c r="K19" s="779">
        <v>8000</v>
      </c>
      <c r="L19" s="780"/>
      <c r="M19" s="781">
        <v>234601</v>
      </c>
      <c r="N19" s="776"/>
      <c r="O19" s="782">
        <f>'J-2'!$G$26*365/12</f>
        <v>9.9888333333333339</v>
      </c>
      <c r="P19" s="776"/>
      <c r="Q19" s="783">
        <f t="shared" si="0"/>
        <v>79910.666666666672</v>
      </c>
      <c r="R19" s="776"/>
      <c r="S19" s="784">
        <f>'J-2'!$I$26</f>
        <v>3.0999999999999999E-3</v>
      </c>
      <c r="T19" s="776"/>
      <c r="U19" s="785">
        <f t="shared" si="1"/>
        <v>727.26310000000001</v>
      </c>
      <c r="V19" s="776"/>
      <c r="W19" s="783">
        <f t="shared" si="2"/>
        <v>80637.929766666668</v>
      </c>
      <c r="Y19" s="786">
        <v>1.4E-3</v>
      </c>
      <c r="AA19" s="787">
        <f t="shared" si="3"/>
        <v>328.44139999999999</v>
      </c>
      <c r="AC19" s="764" t="s">
        <v>912</v>
      </c>
    </row>
    <row r="20" spans="1:29">
      <c r="A20" s="763">
        <f t="shared" si="4"/>
        <v>11</v>
      </c>
      <c r="C20" s="775" t="s">
        <v>928</v>
      </c>
      <c r="D20" s="776"/>
      <c r="E20" s="777" t="s">
        <v>912</v>
      </c>
      <c r="F20" s="777"/>
      <c r="G20" s="777" t="s">
        <v>913</v>
      </c>
      <c r="H20" s="776"/>
      <c r="I20" s="778" t="s">
        <v>930</v>
      </c>
      <c r="J20" s="776"/>
      <c r="K20" s="779">
        <v>16500</v>
      </c>
      <c r="L20" s="780"/>
      <c r="M20" s="781">
        <v>193057</v>
      </c>
      <c r="N20" s="776"/>
      <c r="O20" s="782">
        <f>'J-2'!$G$26*365/12</f>
        <v>9.9888333333333339</v>
      </c>
      <c r="P20" s="776"/>
      <c r="Q20" s="783">
        <f t="shared" si="0"/>
        <v>164815.75</v>
      </c>
      <c r="R20" s="776"/>
      <c r="S20" s="784">
        <f>'J-2'!$I$26</f>
        <v>3.0999999999999999E-3</v>
      </c>
      <c r="T20" s="776"/>
      <c r="U20" s="785">
        <f t="shared" si="1"/>
        <v>598.47669999999994</v>
      </c>
      <c r="V20" s="776"/>
      <c r="W20" s="783">
        <f t="shared" si="2"/>
        <v>165414.2267</v>
      </c>
      <c r="Y20" s="786">
        <v>1.4E-3</v>
      </c>
      <c r="AA20" s="787">
        <f t="shared" si="3"/>
        <v>270.27980000000002</v>
      </c>
      <c r="AC20" s="764" t="s">
        <v>912</v>
      </c>
    </row>
    <row r="21" spans="1:29">
      <c r="A21" s="763">
        <f t="shared" si="4"/>
        <v>12</v>
      </c>
      <c r="C21" s="775" t="s">
        <v>928</v>
      </c>
      <c r="D21" s="776"/>
      <c r="E21" s="777" t="s">
        <v>912</v>
      </c>
      <c r="F21" s="777"/>
      <c r="G21" s="777" t="s">
        <v>913</v>
      </c>
      <c r="H21" s="776"/>
      <c r="I21" s="778" t="s">
        <v>1021</v>
      </c>
      <c r="J21" s="776"/>
      <c r="K21" s="779">
        <v>5951</v>
      </c>
      <c r="L21" s="780"/>
      <c r="M21" s="789">
        <f>K21*365/12*'G-1 '!$M$504</f>
        <v>0</v>
      </c>
      <c r="N21" s="776"/>
      <c r="O21" s="782">
        <f>'J-2'!$G$26*365/12</f>
        <v>9.9888333333333339</v>
      </c>
      <c r="P21" s="776"/>
      <c r="Q21" s="783">
        <f>K21*O21</f>
        <v>59443.547166666671</v>
      </c>
      <c r="R21" s="776"/>
      <c r="S21" s="784">
        <f>'J-2'!$I$26</f>
        <v>3.0999999999999999E-3</v>
      </c>
      <c r="T21" s="776"/>
      <c r="U21" s="785">
        <f>S21*M21</f>
        <v>0</v>
      </c>
      <c r="V21" s="776"/>
      <c r="W21" s="783">
        <f>U21+Q21</f>
        <v>59443.547166666671</v>
      </c>
      <c r="Y21" s="786">
        <v>1.4E-3</v>
      </c>
      <c r="AA21" s="787">
        <f t="shared" si="3"/>
        <v>0</v>
      </c>
      <c r="AC21" s="764" t="s">
        <v>912</v>
      </c>
    </row>
    <row r="22" spans="1:29">
      <c r="A22" s="763">
        <f t="shared" si="4"/>
        <v>13</v>
      </c>
      <c r="C22" s="775" t="s">
        <v>911</v>
      </c>
      <c r="D22" s="776"/>
      <c r="E22" s="777" t="s">
        <v>912</v>
      </c>
      <c r="F22" s="777"/>
      <c r="G22" s="777" t="s">
        <v>913</v>
      </c>
      <c r="H22" s="776"/>
      <c r="I22" s="778" t="s">
        <v>931</v>
      </c>
      <c r="J22" s="776"/>
      <c r="K22" s="779">
        <v>5722</v>
      </c>
      <c r="L22" s="780"/>
      <c r="M22" s="781">
        <v>177382</v>
      </c>
      <c r="N22" s="776"/>
      <c r="O22" s="782">
        <f>'J-2'!$G$26*365/12</f>
        <v>9.9888333333333339</v>
      </c>
      <c r="P22" s="776"/>
      <c r="Q22" s="783">
        <f t="shared" si="0"/>
        <v>57156.104333333336</v>
      </c>
      <c r="R22" s="776"/>
      <c r="S22" s="784">
        <f>'J-2'!$I$26</f>
        <v>3.0999999999999999E-3</v>
      </c>
      <c r="T22" s="776"/>
      <c r="U22" s="785">
        <f t="shared" si="1"/>
        <v>549.88419999999996</v>
      </c>
      <c r="V22" s="776"/>
      <c r="W22" s="783">
        <f t="shared" si="2"/>
        <v>57705.988533333337</v>
      </c>
      <c r="Y22" s="786">
        <v>1.4E-3</v>
      </c>
      <c r="AA22" s="787">
        <f t="shared" si="3"/>
        <v>248.3348</v>
      </c>
      <c r="AC22" s="764" t="s">
        <v>912</v>
      </c>
    </row>
    <row r="23" spans="1:29">
      <c r="A23" s="763">
        <f t="shared" si="4"/>
        <v>14</v>
      </c>
      <c r="C23" s="775" t="s">
        <v>932</v>
      </c>
      <c r="D23" s="776"/>
      <c r="E23" s="777" t="s">
        <v>912</v>
      </c>
      <c r="F23" s="777"/>
      <c r="G23" s="777" t="s">
        <v>913</v>
      </c>
      <c r="H23" s="776"/>
      <c r="I23" s="778" t="s">
        <v>933</v>
      </c>
      <c r="J23" s="776"/>
      <c r="K23" s="779">
        <v>760</v>
      </c>
      <c r="L23" s="780"/>
      <c r="M23" s="781">
        <v>23526</v>
      </c>
      <c r="N23" s="776"/>
      <c r="O23" s="782">
        <f>'J-2'!$G$26*365/12</f>
        <v>9.9888333333333339</v>
      </c>
      <c r="P23" s="776"/>
      <c r="Q23" s="783">
        <f t="shared" si="0"/>
        <v>7591.5133333333333</v>
      </c>
      <c r="R23" s="776"/>
      <c r="S23" s="784">
        <f>'J-2'!$I$26</f>
        <v>3.0999999999999999E-3</v>
      </c>
      <c r="T23" s="776"/>
      <c r="U23" s="785">
        <f t="shared" si="1"/>
        <v>72.930599999999998</v>
      </c>
      <c r="V23" s="776"/>
      <c r="W23" s="783">
        <f t="shared" si="2"/>
        <v>7664.443933333333</v>
      </c>
      <c r="Y23" s="786">
        <v>1.4E-3</v>
      </c>
      <c r="AA23" s="787">
        <f t="shared" si="3"/>
        <v>32.936399999999999</v>
      </c>
      <c r="AC23" s="764" t="s">
        <v>912</v>
      </c>
    </row>
    <row r="24" spans="1:29">
      <c r="A24" s="763">
        <f t="shared" si="4"/>
        <v>15</v>
      </c>
      <c r="C24" s="775" t="s">
        <v>922</v>
      </c>
      <c r="D24" s="776"/>
      <c r="E24" s="777" t="s">
        <v>912</v>
      </c>
      <c r="F24" s="777"/>
      <c r="G24" s="777" t="s">
        <v>913</v>
      </c>
      <c r="H24" s="776"/>
      <c r="I24" s="778" t="s">
        <v>934</v>
      </c>
      <c r="J24" s="776"/>
      <c r="K24" s="779">
        <v>150</v>
      </c>
      <c r="L24" s="780"/>
      <c r="M24" s="781">
        <v>3150</v>
      </c>
      <c r="N24" s="776"/>
      <c r="O24" s="782">
        <f>'J-2'!$G$26*365/12</f>
        <v>9.9888333333333339</v>
      </c>
      <c r="P24" s="776"/>
      <c r="Q24" s="783">
        <f t="shared" si="0"/>
        <v>1498.325</v>
      </c>
      <c r="R24" s="776"/>
      <c r="S24" s="784">
        <f>'J-2'!$I$26</f>
        <v>3.0999999999999999E-3</v>
      </c>
      <c r="T24" s="776"/>
      <c r="U24" s="785">
        <f t="shared" si="1"/>
        <v>9.7649999999999988</v>
      </c>
      <c r="V24" s="776"/>
      <c r="W24" s="783">
        <f t="shared" si="2"/>
        <v>1508.0900000000001</v>
      </c>
      <c r="Y24" s="786">
        <v>1.4E-3</v>
      </c>
      <c r="AA24" s="787">
        <f t="shared" si="3"/>
        <v>4.41</v>
      </c>
      <c r="AC24" s="764" t="s">
        <v>912</v>
      </c>
    </row>
    <row r="25" spans="1:29">
      <c r="A25" s="763">
        <f t="shared" si="4"/>
        <v>16</v>
      </c>
      <c r="C25" s="775" t="s">
        <v>922</v>
      </c>
      <c r="D25" s="776"/>
      <c r="E25" s="777" t="s">
        <v>912</v>
      </c>
      <c r="F25" s="777"/>
      <c r="G25" s="777" t="s">
        <v>913</v>
      </c>
      <c r="H25" s="776"/>
      <c r="I25" s="778" t="s">
        <v>935</v>
      </c>
      <c r="J25" s="776"/>
      <c r="K25" s="779">
        <v>250</v>
      </c>
      <c r="L25" s="780"/>
      <c r="M25" s="781">
        <v>5250</v>
      </c>
      <c r="N25" s="776"/>
      <c r="O25" s="782">
        <f>'J-2'!$G$26*365/12</f>
        <v>9.9888333333333339</v>
      </c>
      <c r="P25" s="776"/>
      <c r="Q25" s="783">
        <f t="shared" si="0"/>
        <v>2497.2083333333335</v>
      </c>
      <c r="R25" s="776"/>
      <c r="S25" s="784">
        <f>'J-2'!$I$26</f>
        <v>3.0999999999999999E-3</v>
      </c>
      <c r="T25" s="776"/>
      <c r="U25" s="785">
        <f t="shared" si="1"/>
        <v>16.274999999999999</v>
      </c>
      <c r="V25" s="776"/>
      <c r="W25" s="783">
        <f t="shared" si="2"/>
        <v>2513.4833333333336</v>
      </c>
      <c r="Y25" s="786">
        <v>1.4E-3</v>
      </c>
      <c r="AA25" s="787">
        <f t="shared" si="3"/>
        <v>7.35</v>
      </c>
      <c r="AC25" s="764" t="s">
        <v>912</v>
      </c>
    </row>
    <row r="26" spans="1:29">
      <c r="A26" s="763">
        <f t="shared" si="4"/>
        <v>17</v>
      </c>
      <c r="C26" s="775" t="s">
        <v>922</v>
      </c>
      <c r="D26" s="776"/>
      <c r="E26" s="777" t="s">
        <v>912</v>
      </c>
      <c r="F26" s="777"/>
      <c r="G26" s="777" t="s">
        <v>913</v>
      </c>
      <c r="H26" s="776"/>
      <c r="I26" s="778" t="s">
        <v>936</v>
      </c>
      <c r="J26" s="776"/>
      <c r="K26" s="779">
        <v>400</v>
      </c>
      <c r="L26" s="780"/>
      <c r="M26" s="781">
        <v>8400</v>
      </c>
      <c r="N26" s="776"/>
      <c r="O26" s="782">
        <f>'J-2'!$G$26*365/12</f>
        <v>9.9888333333333339</v>
      </c>
      <c r="P26" s="776"/>
      <c r="Q26" s="783">
        <f t="shared" si="0"/>
        <v>3995.5333333333338</v>
      </c>
      <c r="R26" s="776"/>
      <c r="S26" s="784">
        <f>'J-2'!$I$26</f>
        <v>3.0999999999999999E-3</v>
      </c>
      <c r="T26" s="776"/>
      <c r="U26" s="785">
        <f t="shared" si="1"/>
        <v>26.04</v>
      </c>
      <c r="V26" s="776"/>
      <c r="W26" s="783">
        <f t="shared" si="2"/>
        <v>4021.5733333333337</v>
      </c>
      <c r="Y26" s="786">
        <v>1.4E-3</v>
      </c>
      <c r="AA26" s="787">
        <f t="shared" si="3"/>
        <v>11.76</v>
      </c>
      <c r="AC26" s="764" t="s">
        <v>912</v>
      </c>
    </row>
    <row r="27" spans="1:29">
      <c r="A27" s="763">
        <f t="shared" si="4"/>
        <v>18</v>
      </c>
      <c r="C27" s="775" t="s">
        <v>911</v>
      </c>
      <c r="D27" s="776"/>
      <c r="E27" s="777" t="s">
        <v>912</v>
      </c>
      <c r="F27" s="777"/>
      <c r="G27" s="777" t="s">
        <v>913</v>
      </c>
      <c r="H27" s="776"/>
      <c r="I27" s="778" t="s">
        <v>937</v>
      </c>
      <c r="J27" s="776"/>
      <c r="K27" s="779">
        <v>40000</v>
      </c>
      <c r="L27" s="780"/>
      <c r="M27" s="781">
        <v>1240000</v>
      </c>
      <c r="N27" s="776"/>
      <c r="O27" s="782">
        <f>'J-2'!$G$26*365/12</f>
        <v>9.9888333333333339</v>
      </c>
      <c r="P27" s="776"/>
      <c r="Q27" s="783">
        <f t="shared" si="0"/>
        <v>399553.33333333337</v>
      </c>
      <c r="R27" s="776"/>
      <c r="S27" s="784">
        <f>'J-2'!$I$26</f>
        <v>3.0999999999999999E-3</v>
      </c>
      <c r="T27" s="776"/>
      <c r="U27" s="785">
        <f t="shared" si="1"/>
        <v>3844</v>
      </c>
      <c r="V27" s="776"/>
      <c r="W27" s="783">
        <f t="shared" si="2"/>
        <v>403397.33333333337</v>
      </c>
      <c r="Y27" s="786">
        <v>1.4E-3</v>
      </c>
      <c r="AA27" s="787">
        <f t="shared" si="3"/>
        <v>1736</v>
      </c>
      <c r="AC27" s="764" t="s">
        <v>912</v>
      </c>
    </row>
    <row r="28" spans="1:29">
      <c r="A28" s="763">
        <f t="shared" si="4"/>
        <v>19</v>
      </c>
      <c r="C28" s="775" t="s">
        <v>938</v>
      </c>
      <c r="D28" s="776"/>
      <c r="E28" s="777" t="s">
        <v>912</v>
      </c>
      <c r="F28" s="777"/>
      <c r="G28" s="777" t="s">
        <v>913</v>
      </c>
      <c r="H28" s="776"/>
      <c r="I28" s="778" t="s">
        <v>939</v>
      </c>
      <c r="J28" s="776"/>
      <c r="K28" s="779">
        <v>800</v>
      </c>
      <c r="L28" s="780"/>
      <c r="M28" s="781">
        <v>24800</v>
      </c>
      <c r="N28" s="776"/>
      <c r="O28" s="782">
        <f>'J-2'!$G$26*365/12</f>
        <v>9.9888333333333339</v>
      </c>
      <c r="P28" s="776"/>
      <c r="Q28" s="783">
        <f t="shared" si="0"/>
        <v>7991.0666666666675</v>
      </c>
      <c r="R28" s="776"/>
      <c r="S28" s="784">
        <f>'J-2'!$I$26</f>
        <v>3.0999999999999999E-3</v>
      </c>
      <c r="T28" s="776"/>
      <c r="U28" s="785">
        <f t="shared" si="1"/>
        <v>76.88</v>
      </c>
      <c r="V28" s="776"/>
      <c r="W28" s="783">
        <f t="shared" si="2"/>
        <v>8067.9466666666676</v>
      </c>
      <c r="Y28" s="786">
        <v>1.4E-3</v>
      </c>
      <c r="AA28" s="787">
        <f t="shared" si="3"/>
        <v>34.72</v>
      </c>
      <c r="AC28" s="764" t="s">
        <v>912</v>
      </c>
    </row>
    <row r="29" spans="1:29">
      <c r="A29" s="763">
        <f t="shared" si="4"/>
        <v>20</v>
      </c>
      <c r="C29" s="775" t="s">
        <v>938</v>
      </c>
      <c r="D29" s="776"/>
      <c r="E29" s="777" t="s">
        <v>912</v>
      </c>
      <c r="F29" s="777"/>
      <c r="G29" s="777" t="s">
        <v>913</v>
      </c>
      <c r="H29" s="776"/>
      <c r="I29" s="778" t="s">
        <v>940</v>
      </c>
      <c r="J29" s="776"/>
      <c r="K29" s="779">
        <v>200</v>
      </c>
      <c r="L29" s="780"/>
      <c r="M29" s="781">
        <v>6200</v>
      </c>
      <c r="N29" s="776"/>
      <c r="O29" s="782">
        <f>'J-2'!$G$26*365/12</f>
        <v>9.9888333333333339</v>
      </c>
      <c r="P29" s="776"/>
      <c r="Q29" s="783">
        <f t="shared" si="0"/>
        <v>1997.7666666666669</v>
      </c>
      <c r="R29" s="776"/>
      <c r="S29" s="784">
        <f>'J-2'!$I$26</f>
        <v>3.0999999999999999E-3</v>
      </c>
      <c r="T29" s="776"/>
      <c r="U29" s="785">
        <f t="shared" si="1"/>
        <v>19.22</v>
      </c>
      <c r="V29" s="776"/>
      <c r="W29" s="783">
        <f t="shared" si="2"/>
        <v>2016.9866666666669</v>
      </c>
      <c r="Y29" s="786">
        <v>1.4E-3</v>
      </c>
      <c r="AA29" s="787">
        <f t="shared" si="3"/>
        <v>8.68</v>
      </c>
      <c r="AC29" s="764" t="s">
        <v>912</v>
      </c>
    </row>
    <row r="30" spans="1:29">
      <c r="A30" s="763">
        <f t="shared" si="4"/>
        <v>21</v>
      </c>
      <c r="C30" s="775" t="s">
        <v>938</v>
      </c>
      <c r="D30" s="776"/>
      <c r="E30" s="777" t="s">
        <v>912</v>
      </c>
      <c r="F30" s="777"/>
      <c r="G30" s="777" t="s">
        <v>913</v>
      </c>
      <c r="H30" s="776"/>
      <c r="I30" s="778" t="s">
        <v>941</v>
      </c>
      <c r="J30" s="776"/>
      <c r="K30" s="779">
        <v>400</v>
      </c>
      <c r="L30" s="780"/>
      <c r="M30" s="781">
        <v>12400</v>
      </c>
      <c r="N30" s="776"/>
      <c r="O30" s="782">
        <f>'J-2'!$G$26*365/12</f>
        <v>9.9888333333333339</v>
      </c>
      <c r="P30" s="776"/>
      <c r="Q30" s="783">
        <f t="shared" si="0"/>
        <v>3995.5333333333338</v>
      </c>
      <c r="R30" s="776"/>
      <c r="S30" s="784">
        <f>'J-2'!$I$26</f>
        <v>3.0999999999999999E-3</v>
      </c>
      <c r="T30" s="776"/>
      <c r="U30" s="785">
        <f t="shared" si="1"/>
        <v>38.44</v>
      </c>
      <c r="V30" s="776"/>
      <c r="W30" s="783">
        <f t="shared" si="2"/>
        <v>4033.9733333333338</v>
      </c>
      <c r="Y30" s="786">
        <v>1.4E-3</v>
      </c>
      <c r="AA30" s="787">
        <f t="shared" si="3"/>
        <v>17.36</v>
      </c>
      <c r="AC30" s="764" t="s">
        <v>912</v>
      </c>
    </row>
    <row r="31" spans="1:29">
      <c r="A31" s="763">
        <f t="shared" si="4"/>
        <v>22</v>
      </c>
      <c r="C31" s="790" t="s">
        <v>960</v>
      </c>
      <c r="K31" s="791">
        <f>SUM(K10:K30)</f>
        <v>209934</v>
      </c>
      <c r="M31" s="792">
        <f>SUM(M10:M30)</f>
        <v>4373843</v>
      </c>
      <c r="Q31" s="793">
        <f>SUM(Q10:Q30)</f>
        <v>2096995.7370000002</v>
      </c>
      <c r="U31" s="793">
        <f>SUM(U10:U30)</f>
        <v>13558.913299999998</v>
      </c>
      <c r="W31" s="793">
        <f>SUM(W10:W30)</f>
        <v>2110554.6502999999</v>
      </c>
      <c r="AA31" s="793">
        <f>SUM(AA10:AA30)</f>
        <v>6123.3801999999996</v>
      </c>
    </row>
    <row r="32" spans="1:29">
      <c r="A32" s="763" t="str">
        <f t="shared" si="4"/>
        <v/>
      </c>
      <c r="C32" s="790" t="s">
        <v>961</v>
      </c>
      <c r="D32" s="776"/>
      <c r="E32" s="777"/>
      <c r="F32" s="777"/>
      <c r="G32" s="777"/>
      <c r="H32" s="776"/>
      <c r="I32" s="777"/>
      <c r="J32" s="776"/>
      <c r="K32" s="794"/>
      <c r="L32" s="776"/>
      <c r="M32" s="780"/>
      <c r="N32" s="776"/>
      <c r="O32" s="776"/>
      <c r="P32" s="776"/>
      <c r="Q32" s="776"/>
    </row>
    <row r="33" spans="1:32">
      <c r="A33" s="763">
        <v>23</v>
      </c>
      <c r="C33" s="775" t="s">
        <v>948</v>
      </c>
      <c r="D33" s="776"/>
      <c r="E33" s="777" t="s">
        <v>912</v>
      </c>
      <c r="F33" s="777"/>
      <c r="G33" s="777" t="s">
        <v>962</v>
      </c>
      <c r="H33" s="776"/>
      <c r="I33" s="778" t="s">
        <v>963</v>
      </c>
      <c r="J33" s="776"/>
      <c r="K33" s="779">
        <v>0</v>
      </c>
      <c r="L33" s="776"/>
      <c r="M33" s="781">
        <v>6200</v>
      </c>
      <c r="N33" s="776"/>
      <c r="O33" s="782">
        <f>'J-2'!$G$26*365/12</f>
        <v>9.9888333333333339</v>
      </c>
      <c r="P33" s="776"/>
      <c r="Q33" s="783">
        <f t="shared" ref="Q33:Q40" si="5">K33*O33</f>
        <v>0</v>
      </c>
      <c r="S33" s="784">
        <f>'J-2'!$I$26</f>
        <v>3.0999999999999999E-3</v>
      </c>
      <c r="U33" s="785">
        <f t="shared" ref="U33:U40" si="6">S33*M33</f>
        <v>19.22</v>
      </c>
      <c r="W33" s="783">
        <f t="shared" ref="W33:W40" si="7">U33+Q33</f>
        <v>19.22</v>
      </c>
      <c r="Y33" s="786">
        <v>1.4E-3</v>
      </c>
      <c r="AA33" s="787">
        <f t="shared" ref="AA33:AA40" si="8">Y33*M33</f>
        <v>8.68</v>
      </c>
      <c r="AC33" s="764" t="s">
        <v>912</v>
      </c>
    </row>
    <row r="34" spans="1:32">
      <c r="A34" s="763">
        <f t="shared" si="4"/>
        <v>24</v>
      </c>
      <c r="C34" s="775" t="s">
        <v>958</v>
      </c>
      <c r="D34" s="776"/>
      <c r="E34" s="777" t="s">
        <v>912</v>
      </c>
      <c r="F34" s="777"/>
      <c r="G34" s="777" t="s">
        <v>962</v>
      </c>
      <c r="H34" s="776"/>
      <c r="I34" s="778" t="s">
        <v>964</v>
      </c>
      <c r="J34" s="776"/>
      <c r="K34" s="779">
        <v>0</v>
      </c>
      <c r="L34" s="776"/>
      <c r="M34" s="781">
        <v>9300</v>
      </c>
      <c r="N34" s="776"/>
      <c r="O34" s="782">
        <f>'J-2'!$G$26*365/12</f>
        <v>9.9888333333333339</v>
      </c>
      <c r="P34" s="776"/>
      <c r="Q34" s="783">
        <f t="shared" si="5"/>
        <v>0</v>
      </c>
      <c r="S34" s="784">
        <f>'J-2'!$I$26</f>
        <v>3.0999999999999999E-3</v>
      </c>
      <c r="U34" s="785">
        <f t="shared" si="6"/>
        <v>28.83</v>
      </c>
      <c r="W34" s="783">
        <f t="shared" si="7"/>
        <v>28.83</v>
      </c>
      <c r="Y34" s="786">
        <v>1.4E-3</v>
      </c>
      <c r="AA34" s="787">
        <f t="shared" si="8"/>
        <v>13.02</v>
      </c>
      <c r="AC34" s="764" t="s">
        <v>912</v>
      </c>
      <c r="AF34" s="795"/>
    </row>
    <row r="35" spans="1:32">
      <c r="A35" s="763">
        <f t="shared" si="4"/>
        <v>25</v>
      </c>
      <c r="C35" s="775" t="s">
        <v>932</v>
      </c>
      <c r="D35" s="776"/>
      <c r="E35" s="777" t="s">
        <v>912</v>
      </c>
      <c r="F35" s="777"/>
      <c r="G35" s="777" t="s">
        <v>962</v>
      </c>
      <c r="H35" s="776"/>
      <c r="I35" s="778" t="s">
        <v>965</v>
      </c>
      <c r="J35" s="776"/>
      <c r="K35" s="779">
        <v>0</v>
      </c>
      <c r="L35" s="776"/>
      <c r="M35" s="781">
        <v>4650</v>
      </c>
      <c r="N35" s="776"/>
      <c r="O35" s="782">
        <f>'J-2'!$G$26*365/12</f>
        <v>9.9888333333333339</v>
      </c>
      <c r="P35" s="776"/>
      <c r="Q35" s="783">
        <f t="shared" si="5"/>
        <v>0</v>
      </c>
      <c r="S35" s="784">
        <f>'J-2'!$I$26</f>
        <v>3.0999999999999999E-3</v>
      </c>
      <c r="U35" s="785">
        <f t="shared" si="6"/>
        <v>14.414999999999999</v>
      </c>
      <c r="W35" s="783">
        <f t="shared" si="7"/>
        <v>14.414999999999999</v>
      </c>
      <c r="Y35" s="786">
        <v>1.4E-3</v>
      </c>
      <c r="AA35" s="787">
        <f t="shared" si="8"/>
        <v>6.51</v>
      </c>
      <c r="AC35" s="764" t="s">
        <v>912</v>
      </c>
    </row>
    <row r="36" spans="1:32">
      <c r="A36" s="763">
        <f t="shared" si="4"/>
        <v>26</v>
      </c>
      <c r="C36" s="775" t="s">
        <v>966</v>
      </c>
      <c r="D36" s="776"/>
      <c r="E36" s="777" t="s">
        <v>912</v>
      </c>
      <c r="F36" s="777"/>
      <c r="G36" s="777" t="s">
        <v>962</v>
      </c>
      <c r="H36" s="776"/>
      <c r="I36" s="778" t="s">
        <v>967</v>
      </c>
      <c r="J36" s="776"/>
      <c r="K36" s="779">
        <v>0</v>
      </c>
      <c r="L36" s="776"/>
      <c r="M36" s="781">
        <v>178378</v>
      </c>
      <c r="N36" s="776"/>
      <c r="O36" s="782">
        <f>'J-2'!$G$26*365/12</f>
        <v>9.9888333333333339</v>
      </c>
      <c r="P36" s="776"/>
      <c r="Q36" s="783">
        <f t="shared" si="5"/>
        <v>0</v>
      </c>
      <c r="S36" s="784">
        <f>'J-2'!$I$26</f>
        <v>3.0999999999999999E-3</v>
      </c>
      <c r="U36" s="785">
        <f t="shared" si="6"/>
        <v>552.97180000000003</v>
      </c>
      <c r="W36" s="783">
        <f t="shared" si="7"/>
        <v>552.97180000000003</v>
      </c>
      <c r="Y36" s="786">
        <v>1.4E-3</v>
      </c>
      <c r="AA36" s="787">
        <f t="shared" si="8"/>
        <v>249.72919999999999</v>
      </c>
      <c r="AC36" s="764" t="s">
        <v>912</v>
      </c>
    </row>
    <row r="37" spans="1:32">
      <c r="A37" s="763">
        <f t="shared" si="4"/>
        <v>27</v>
      </c>
      <c r="C37" s="775" t="s">
        <v>966</v>
      </c>
      <c r="D37" s="776"/>
      <c r="E37" s="777" t="s">
        <v>912</v>
      </c>
      <c r="F37" s="777"/>
      <c r="G37" s="777" t="s">
        <v>962</v>
      </c>
      <c r="H37" s="776"/>
      <c r="I37" s="778" t="s">
        <v>968</v>
      </c>
      <c r="J37" s="776"/>
      <c r="K37" s="779">
        <v>0</v>
      </c>
      <c r="L37" s="776"/>
      <c r="M37" s="781">
        <v>8040</v>
      </c>
      <c r="N37" s="776"/>
      <c r="O37" s="782">
        <f>'J-2'!$G$26*365/12</f>
        <v>9.9888333333333339</v>
      </c>
      <c r="P37" s="776"/>
      <c r="Q37" s="783">
        <f t="shared" si="5"/>
        <v>0</v>
      </c>
      <c r="S37" s="784">
        <f>'J-2'!$I$26</f>
        <v>3.0999999999999999E-3</v>
      </c>
      <c r="U37" s="785">
        <f t="shared" si="6"/>
        <v>24.923999999999999</v>
      </c>
      <c r="W37" s="783">
        <f t="shared" si="7"/>
        <v>24.923999999999999</v>
      </c>
      <c r="Y37" s="786">
        <v>1.4E-3</v>
      </c>
      <c r="AA37" s="787">
        <f t="shared" si="8"/>
        <v>11.256</v>
      </c>
      <c r="AC37" s="764" t="s">
        <v>912</v>
      </c>
      <c r="AF37" s="795"/>
    </row>
    <row r="38" spans="1:32">
      <c r="A38" s="763">
        <f t="shared" si="4"/>
        <v>28</v>
      </c>
      <c r="C38" s="775" t="s">
        <v>969</v>
      </c>
      <c r="D38" s="776"/>
      <c r="E38" s="777" t="s">
        <v>912</v>
      </c>
      <c r="F38" s="777"/>
      <c r="G38" s="777" t="s">
        <v>970</v>
      </c>
      <c r="H38" s="776"/>
      <c r="I38" s="778" t="s">
        <v>971</v>
      </c>
      <c r="J38" s="776"/>
      <c r="K38" s="779">
        <v>500</v>
      </c>
      <c r="L38" s="780"/>
      <c r="M38" s="781">
        <v>0</v>
      </c>
      <c r="N38" s="776"/>
      <c r="O38" s="782">
        <f>'J-2'!$G$26*365/12</f>
        <v>9.9888333333333339</v>
      </c>
      <c r="P38" s="776"/>
      <c r="Q38" s="783">
        <f t="shared" si="5"/>
        <v>4994.416666666667</v>
      </c>
      <c r="S38" s="784">
        <f>'J-2'!$I$26</f>
        <v>3.0999999999999999E-3</v>
      </c>
      <c r="U38" s="785">
        <f t="shared" si="6"/>
        <v>0</v>
      </c>
      <c r="W38" s="783">
        <f t="shared" si="7"/>
        <v>4994.416666666667</v>
      </c>
      <c r="Y38" s="786">
        <v>1.4E-3</v>
      </c>
      <c r="AA38" s="787">
        <f t="shared" si="8"/>
        <v>0</v>
      </c>
      <c r="AC38" s="764" t="s">
        <v>912</v>
      </c>
    </row>
    <row r="39" spans="1:32">
      <c r="A39" s="763">
        <f t="shared" si="4"/>
        <v>29</v>
      </c>
      <c r="C39" s="775" t="s">
        <v>972</v>
      </c>
      <c r="D39" s="776"/>
      <c r="E39" s="777" t="s">
        <v>912</v>
      </c>
      <c r="F39" s="777"/>
      <c r="G39" s="777" t="s">
        <v>970</v>
      </c>
      <c r="H39" s="776"/>
      <c r="I39" s="778" t="s">
        <v>973</v>
      </c>
      <c r="J39" s="776"/>
      <c r="K39" s="779">
        <v>150</v>
      </c>
      <c r="L39" s="780"/>
      <c r="M39" s="781">
        <v>0</v>
      </c>
      <c r="N39" s="776"/>
      <c r="O39" s="782">
        <f>'J-2'!$G$26*365/12</f>
        <v>9.9888333333333339</v>
      </c>
      <c r="P39" s="776"/>
      <c r="Q39" s="783">
        <f t="shared" si="5"/>
        <v>1498.325</v>
      </c>
      <c r="S39" s="784">
        <f>'J-2'!$I$26</f>
        <v>3.0999999999999999E-3</v>
      </c>
      <c r="U39" s="785">
        <f t="shared" si="6"/>
        <v>0</v>
      </c>
      <c r="W39" s="783">
        <f t="shared" si="7"/>
        <v>1498.325</v>
      </c>
      <c r="Y39" s="786">
        <v>1.4E-3</v>
      </c>
      <c r="AA39" s="787">
        <f t="shared" si="8"/>
        <v>0</v>
      </c>
      <c r="AC39" s="764" t="s">
        <v>912</v>
      </c>
    </row>
    <row r="40" spans="1:32">
      <c r="A40" s="763">
        <f t="shared" si="4"/>
        <v>30</v>
      </c>
      <c r="C40" s="775" t="s">
        <v>974</v>
      </c>
      <c r="D40" s="776"/>
      <c r="E40" s="777" t="s">
        <v>912</v>
      </c>
      <c r="F40" s="777"/>
      <c r="G40" s="777" t="s">
        <v>970</v>
      </c>
      <c r="H40" s="776"/>
      <c r="I40" s="778" t="s">
        <v>975</v>
      </c>
      <c r="J40" s="776"/>
      <c r="K40" s="779">
        <v>20000</v>
      </c>
      <c r="L40" s="780"/>
      <c r="M40" s="781">
        <v>0</v>
      </c>
      <c r="N40" s="776"/>
      <c r="O40" s="782">
        <f>'J-2'!$G$26*365/12</f>
        <v>9.9888333333333339</v>
      </c>
      <c r="P40" s="776"/>
      <c r="Q40" s="783">
        <f t="shared" si="5"/>
        <v>199776.66666666669</v>
      </c>
      <c r="S40" s="784">
        <f>'J-2'!$I$26</f>
        <v>3.0999999999999999E-3</v>
      </c>
      <c r="U40" s="785">
        <f t="shared" si="6"/>
        <v>0</v>
      </c>
      <c r="W40" s="783">
        <f t="shared" si="7"/>
        <v>199776.66666666669</v>
      </c>
      <c r="Y40" s="786">
        <v>1.4E-3</v>
      </c>
      <c r="AA40" s="787">
        <f t="shared" si="8"/>
        <v>0</v>
      </c>
      <c r="AC40" s="764" t="s">
        <v>912</v>
      </c>
    </row>
    <row r="41" spans="1:32">
      <c r="A41" s="763">
        <f t="shared" si="4"/>
        <v>31</v>
      </c>
      <c r="C41" s="790" t="s">
        <v>976</v>
      </c>
      <c r="D41" s="776"/>
      <c r="E41" s="777"/>
      <c r="F41" s="777"/>
      <c r="G41" s="777"/>
      <c r="H41" s="776"/>
      <c r="I41" s="777"/>
      <c r="J41" s="776"/>
      <c r="K41" s="791">
        <f>SUM(K33:K40)</f>
        <v>20650</v>
      </c>
      <c r="L41" s="776"/>
      <c r="M41" s="792">
        <f>SUM(M33:M40)</f>
        <v>206568</v>
      </c>
      <c r="N41" s="776"/>
      <c r="O41" s="776"/>
      <c r="P41" s="776"/>
      <c r="Q41" s="793">
        <f>SUM(Q33:Q40)</f>
        <v>206269.40833333335</v>
      </c>
      <c r="U41" s="796">
        <f>SUM(U33:U40)</f>
        <v>640.36080000000004</v>
      </c>
      <c r="W41" s="793">
        <f>SUM(W33:W40)</f>
        <v>206909.76913333335</v>
      </c>
      <c r="AA41" s="793">
        <f>SUM(AA33:AA40)</f>
        <v>289.1952</v>
      </c>
    </row>
    <row r="42" spans="1:32">
      <c r="A42" s="763" t="str">
        <f t="shared" si="4"/>
        <v/>
      </c>
      <c r="C42" s="790" t="s">
        <v>877</v>
      </c>
      <c r="D42" s="776"/>
      <c r="E42" s="777"/>
      <c r="F42" s="777"/>
      <c r="G42" s="777"/>
      <c r="H42" s="776"/>
      <c r="I42" s="777"/>
      <c r="J42" s="776"/>
      <c r="K42" s="794"/>
      <c r="L42" s="776"/>
      <c r="M42" s="780"/>
      <c r="N42" s="776"/>
      <c r="O42" s="776"/>
      <c r="P42" s="776"/>
      <c r="Q42" s="776"/>
      <c r="R42" s="776"/>
      <c r="S42" s="776"/>
      <c r="T42" s="776"/>
      <c r="U42" s="776"/>
      <c r="V42" s="776"/>
      <c r="W42" s="776"/>
      <c r="AF42" s="797"/>
    </row>
    <row r="43" spans="1:32">
      <c r="A43" s="763">
        <v>32</v>
      </c>
      <c r="C43" s="775" t="s">
        <v>932</v>
      </c>
      <c r="D43" s="776"/>
      <c r="E43" s="777" t="s">
        <v>912</v>
      </c>
      <c r="F43" s="777"/>
      <c r="G43" s="777" t="s">
        <v>977</v>
      </c>
      <c r="H43" s="776"/>
      <c r="I43" s="778" t="s">
        <v>978</v>
      </c>
      <c r="J43" s="776"/>
      <c r="K43" s="794">
        <v>0</v>
      </c>
      <c r="L43" s="776"/>
      <c r="M43" s="781">
        <v>60063</v>
      </c>
      <c r="N43" s="776"/>
      <c r="O43" s="782">
        <v>0</v>
      </c>
      <c r="P43" s="776"/>
      <c r="Q43" s="783">
        <f t="shared" ref="Q43:Q45" si="9">K43*O43</f>
        <v>0</v>
      </c>
      <c r="R43" s="776"/>
      <c r="S43" s="784">
        <f>'J-2'!$K$28</f>
        <v>0.33150000000000002</v>
      </c>
      <c r="T43" s="776"/>
      <c r="U43" s="783">
        <f t="shared" ref="U43:U45" si="10">S43*M43</f>
        <v>19910.8845</v>
      </c>
      <c r="V43" s="776"/>
      <c r="W43" s="783">
        <f t="shared" ref="W43:W45" si="11">U43+Q43</f>
        <v>19910.8845</v>
      </c>
      <c r="Y43" s="786">
        <v>1.4E-3</v>
      </c>
      <c r="AA43" s="787">
        <f t="shared" ref="AA43:AA45" si="12">Y43*M43</f>
        <v>84.088200000000001</v>
      </c>
      <c r="AC43" s="764" t="s">
        <v>912</v>
      </c>
    </row>
    <row r="44" spans="1:32">
      <c r="A44" s="763">
        <f t="shared" si="4"/>
        <v>33</v>
      </c>
      <c r="C44" s="775" t="s">
        <v>952</v>
      </c>
      <c r="D44" s="776"/>
      <c r="E44" s="777" t="s">
        <v>912</v>
      </c>
      <c r="F44" s="777"/>
      <c r="G44" s="777" t="s">
        <v>977</v>
      </c>
      <c r="H44" s="776"/>
      <c r="I44" s="778" t="s">
        <v>979</v>
      </c>
      <c r="J44" s="776"/>
      <c r="K44" s="794">
        <v>0</v>
      </c>
      <c r="L44" s="776"/>
      <c r="M44" s="781">
        <v>1890</v>
      </c>
      <c r="N44" s="776"/>
      <c r="O44" s="782">
        <v>0</v>
      </c>
      <c r="P44" s="776"/>
      <c r="Q44" s="783">
        <f t="shared" si="9"/>
        <v>0</v>
      </c>
      <c r="R44" s="776"/>
      <c r="S44" s="784">
        <f>'J-2'!$K$28</f>
        <v>0.33150000000000002</v>
      </c>
      <c r="T44" s="776"/>
      <c r="U44" s="783">
        <f t="shared" si="10"/>
        <v>626.53500000000008</v>
      </c>
      <c r="V44" s="776"/>
      <c r="W44" s="783">
        <f t="shared" si="11"/>
        <v>626.53500000000008</v>
      </c>
      <c r="Y44" s="786">
        <v>1.4E-3</v>
      </c>
      <c r="AA44" s="787">
        <f t="shared" si="12"/>
        <v>2.6459999999999999</v>
      </c>
      <c r="AC44" s="764" t="s">
        <v>912</v>
      </c>
    </row>
    <row r="45" spans="1:32">
      <c r="A45" s="763">
        <f t="shared" si="4"/>
        <v>34</v>
      </c>
      <c r="C45" s="775" t="s">
        <v>980</v>
      </c>
      <c r="D45" s="776"/>
      <c r="E45" s="777" t="s">
        <v>912</v>
      </c>
      <c r="F45" s="777"/>
      <c r="G45" s="777" t="s">
        <v>977</v>
      </c>
      <c r="H45" s="776"/>
      <c r="I45" s="778" t="s">
        <v>981</v>
      </c>
      <c r="J45" s="776"/>
      <c r="K45" s="794">
        <v>0</v>
      </c>
      <c r="L45" s="776"/>
      <c r="M45" s="781">
        <v>9450</v>
      </c>
      <c r="N45" s="776"/>
      <c r="O45" s="782">
        <v>0</v>
      </c>
      <c r="P45" s="776"/>
      <c r="Q45" s="783">
        <f t="shared" si="9"/>
        <v>0</v>
      </c>
      <c r="R45" s="776"/>
      <c r="S45" s="784">
        <f>'J-2'!$K$28</f>
        <v>0.33150000000000002</v>
      </c>
      <c r="T45" s="776"/>
      <c r="U45" s="783">
        <f t="shared" si="10"/>
        <v>3132.6750000000002</v>
      </c>
      <c r="V45" s="776"/>
      <c r="W45" s="783">
        <f t="shared" si="11"/>
        <v>3132.6750000000002</v>
      </c>
      <c r="Y45" s="786">
        <v>1.4E-3</v>
      </c>
      <c r="AA45" s="787">
        <f t="shared" si="12"/>
        <v>13.23</v>
      </c>
      <c r="AC45" s="764" t="s">
        <v>912</v>
      </c>
    </row>
    <row r="46" spans="1:32">
      <c r="A46" s="763">
        <f t="shared" si="4"/>
        <v>35</v>
      </c>
      <c r="C46" s="790" t="s">
        <v>982</v>
      </c>
      <c r="D46" s="776"/>
      <c r="E46" s="777"/>
      <c r="F46" s="777"/>
      <c r="G46" s="777"/>
      <c r="H46" s="776"/>
      <c r="I46" s="777"/>
      <c r="J46" s="776"/>
      <c r="K46" s="791">
        <f>SUM(K43:K45)</f>
        <v>0</v>
      </c>
      <c r="L46" s="776"/>
      <c r="M46" s="792">
        <f>SUM(M43:M45)</f>
        <v>71403</v>
      </c>
      <c r="N46" s="776"/>
      <c r="O46" s="776"/>
      <c r="P46" s="776"/>
      <c r="Q46" s="793">
        <f>SUM(Q43:Q45)</f>
        <v>0</v>
      </c>
      <c r="R46" s="776"/>
      <c r="S46" s="776"/>
      <c r="T46" s="776"/>
      <c r="U46" s="793">
        <f>SUM(U43:U45)</f>
        <v>23670.094499999999</v>
      </c>
      <c r="V46" s="776"/>
      <c r="W46" s="793">
        <f>SUM(W43:W45)</f>
        <v>23670.094499999999</v>
      </c>
      <c r="AA46" s="793">
        <f>SUM(AA43:AA45)</f>
        <v>99.964200000000005</v>
      </c>
    </row>
    <row r="47" spans="1:32">
      <c r="A47" s="763" t="str">
        <f t="shared" si="4"/>
        <v/>
      </c>
    </row>
    <row r="48" spans="1:32">
      <c r="A48" s="763" t="str">
        <f t="shared" si="4"/>
        <v/>
      </c>
      <c r="C48" s="768" t="s">
        <v>983</v>
      </c>
      <c r="D48" s="768"/>
      <c r="E48" s="768"/>
      <c r="F48" s="768"/>
      <c r="G48" s="768"/>
      <c r="H48" s="768"/>
      <c r="I48" s="768"/>
      <c r="J48" s="768"/>
      <c r="K48" s="768"/>
      <c r="L48" s="768"/>
      <c r="M48" s="768"/>
      <c r="N48" s="768"/>
      <c r="O48" s="768"/>
      <c r="P48" s="768"/>
      <c r="Q48" s="768"/>
      <c r="R48" s="768"/>
      <c r="S48" s="768"/>
      <c r="T48" s="768"/>
      <c r="U48" s="768"/>
      <c r="V48" s="768"/>
      <c r="W48" s="768"/>
      <c r="X48" s="768"/>
      <c r="Y48" s="768"/>
      <c r="Z48" s="768"/>
      <c r="AA48" s="768"/>
      <c r="AB48" s="768"/>
      <c r="AC48" s="768"/>
    </row>
    <row r="49" spans="1:29" s="769" customFormat="1">
      <c r="A49" s="763" t="str">
        <f t="shared" si="4"/>
        <v/>
      </c>
      <c r="C49" s="770" t="s">
        <v>876</v>
      </c>
      <c r="D49" s="771"/>
      <c r="E49" s="772"/>
      <c r="F49" s="772"/>
      <c r="G49" s="772"/>
      <c r="H49" s="771"/>
      <c r="I49" s="772"/>
      <c r="J49" s="771"/>
      <c r="K49" s="773"/>
      <c r="L49" s="771"/>
      <c r="M49" s="774"/>
      <c r="N49" s="771"/>
      <c r="O49" s="771"/>
      <c r="P49" s="771"/>
      <c r="Q49" s="771"/>
      <c r="R49" s="771"/>
      <c r="S49" s="771"/>
      <c r="T49" s="771"/>
      <c r="U49" s="771"/>
      <c r="V49" s="771"/>
      <c r="W49" s="771"/>
      <c r="X49" s="771"/>
      <c r="Y49" s="771"/>
      <c r="Z49" s="771"/>
      <c r="AA49" s="771"/>
      <c r="AB49" s="771"/>
      <c r="AC49" s="771"/>
    </row>
    <row r="50" spans="1:29">
      <c r="A50" s="763">
        <v>36</v>
      </c>
      <c r="C50" s="775" t="s">
        <v>911</v>
      </c>
      <c r="D50" s="776"/>
      <c r="E50" s="777" t="s">
        <v>912</v>
      </c>
      <c r="F50" s="777"/>
      <c r="G50" s="777" t="s">
        <v>913</v>
      </c>
      <c r="H50" s="776"/>
      <c r="I50" s="778" t="s">
        <v>914</v>
      </c>
      <c r="J50" s="776"/>
      <c r="K50" s="779">
        <v>105750</v>
      </c>
      <c r="L50" s="776"/>
      <c r="M50" s="781">
        <v>887316</v>
      </c>
      <c r="O50" s="782">
        <f>'J-2'!$G$26*365/12</f>
        <v>9.9888333333333339</v>
      </c>
      <c r="Q50" s="783">
        <f t="shared" ref="Q50:Q70" si="13">K50*O50</f>
        <v>1056319.125</v>
      </c>
      <c r="S50" s="784">
        <f>'J-2'!$I$26</f>
        <v>3.0999999999999999E-3</v>
      </c>
      <c r="U50" s="785">
        <f t="shared" ref="U50:U70" si="14">S50*M50</f>
        <v>2750.6795999999999</v>
      </c>
      <c r="W50" s="783">
        <f t="shared" ref="W50:W70" si="15">U50+Q50</f>
        <v>1059069.8045999999</v>
      </c>
      <c r="Y50" s="786">
        <v>1.4E-3</v>
      </c>
      <c r="AA50" s="787">
        <f t="shared" ref="AA50:AA70" si="16">Y50*M50</f>
        <v>1242.2424000000001</v>
      </c>
      <c r="AC50" s="764" t="s">
        <v>912</v>
      </c>
    </row>
    <row r="51" spans="1:29">
      <c r="A51" s="763">
        <f t="shared" si="4"/>
        <v>37</v>
      </c>
      <c r="C51" s="775" t="s">
        <v>915</v>
      </c>
      <c r="D51" s="776"/>
      <c r="E51" s="777" t="s">
        <v>912</v>
      </c>
      <c r="F51" s="777"/>
      <c r="G51" s="777" t="s">
        <v>913</v>
      </c>
      <c r="H51" s="776"/>
      <c r="I51" s="778" t="s">
        <v>916</v>
      </c>
      <c r="J51" s="776"/>
      <c r="K51" s="779">
        <v>200</v>
      </c>
      <c r="L51" s="776"/>
      <c r="M51" s="781">
        <v>1680</v>
      </c>
      <c r="O51" s="782">
        <f>'J-2'!$G$26*365/12</f>
        <v>9.9888333333333339</v>
      </c>
      <c r="Q51" s="783">
        <f t="shared" si="13"/>
        <v>1997.7666666666669</v>
      </c>
      <c r="S51" s="784">
        <f>'J-2'!$I$26</f>
        <v>3.0999999999999999E-3</v>
      </c>
      <c r="U51" s="785">
        <f t="shared" si="14"/>
        <v>5.2080000000000002</v>
      </c>
      <c r="W51" s="783">
        <f t="shared" si="15"/>
        <v>2002.974666666667</v>
      </c>
      <c r="Y51" s="786">
        <v>1.4E-3</v>
      </c>
      <c r="AA51" s="787">
        <f t="shared" si="16"/>
        <v>2.3519999999999999</v>
      </c>
      <c r="AC51" s="764" t="s">
        <v>912</v>
      </c>
    </row>
    <row r="52" spans="1:29">
      <c r="A52" s="763">
        <f t="shared" si="4"/>
        <v>38</v>
      </c>
      <c r="C52" s="775" t="s">
        <v>917</v>
      </c>
      <c r="D52" s="776"/>
      <c r="E52" s="777" t="s">
        <v>912</v>
      </c>
      <c r="F52" s="777"/>
      <c r="G52" s="777" t="s">
        <v>913</v>
      </c>
      <c r="H52" s="776"/>
      <c r="I52" s="778" t="s">
        <v>918</v>
      </c>
      <c r="J52" s="776"/>
      <c r="K52" s="779">
        <v>1200</v>
      </c>
      <c r="L52" s="776"/>
      <c r="M52" s="781">
        <v>13026</v>
      </c>
      <c r="O52" s="782">
        <f>'J-2'!$G$26*365/12</f>
        <v>9.9888333333333339</v>
      </c>
      <c r="Q52" s="783">
        <f t="shared" si="13"/>
        <v>11986.6</v>
      </c>
      <c r="S52" s="784">
        <f>'J-2'!$I$26</f>
        <v>3.0999999999999999E-3</v>
      </c>
      <c r="U52" s="785">
        <f t="shared" si="14"/>
        <v>40.380600000000001</v>
      </c>
      <c r="W52" s="783">
        <f t="shared" si="15"/>
        <v>12026.980600000001</v>
      </c>
      <c r="Y52" s="786">
        <v>1.4E-3</v>
      </c>
      <c r="AA52" s="787">
        <f t="shared" si="16"/>
        <v>18.2364</v>
      </c>
      <c r="AC52" s="764" t="s">
        <v>912</v>
      </c>
    </row>
    <row r="53" spans="1:29">
      <c r="A53" s="763">
        <f t="shared" si="4"/>
        <v>39</v>
      </c>
      <c r="C53" s="775" t="s">
        <v>919</v>
      </c>
      <c r="D53" s="776"/>
      <c r="E53" s="777" t="s">
        <v>912</v>
      </c>
      <c r="F53" s="777"/>
      <c r="G53" s="777" t="s">
        <v>913</v>
      </c>
      <c r="H53" s="776"/>
      <c r="I53" s="778" t="s">
        <v>920</v>
      </c>
      <c r="J53" s="776"/>
      <c r="K53" s="779">
        <v>1550</v>
      </c>
      <c r="L53" s="776"/>
      <c r="M53" s="781">
        <v>0</v>
      </c>
      <c r="O53" s="782">
        <f>'J-2'!$G$26*365/12</f>
        <v>9.9888333333333339</v>
      </c>
      <c r="Q53" s="783">
        <f t="shared" si="13"/>
        <v>15482.691666666668</v>
      </c>
      <c r="S53" s="784">
        <f>'J-2'!$I$26</f>
        <v>3.0999999999999999E-3</v>
      </c>
      <c r="U53" s="785">
        <f t="shared" si="14"/>
        <v>0</v>
      </c>
      <c r="W53" s="783">
        <f t="shared" si="15"/>
        <v>15482.691666666668</v>
      </c>
      <c r="Y53" s="786">
        <v>1.4E-3</v>
      </c>
      <c r="AA53" s="787">
        <f t="shared" si="16"/>
        <v>0</v>
      </c>
      <c r="AC53" s="764" t="s">
        <v>912</v>
      </c>
    </row>
    <row r="54" spans="1:29">
      <c r="A54" s="763">
        <f t="shared" si="4"/>
        <v>40</v>
      </c>
      <c r="C54" s="775" t="s">
        <v>911</v>
      </c>
      <c r="D54" s="776"/>
      <c r="E54" s="777" t="s">
        <v>912</v>
      </c>
      <c r="F54" s="777"/>
      <c r="G54" s="777" t="s">
        <v>913</v>
      </c>
      <c r="H54" s="776"/>
      <c r="I54" s="778" t="s">
        <v>921</v>
      </c>
      <c r="J54" s="776"/>
      <c r="K54" s="779">
        <v>10000</v>
      </c>
      <c r="L54" s="776"/>
      <c r="M54" s="781">
        <v>279999</v>
      </c>
      <c r="O54" s="782">
        <f>'J-2'!$G$26*365/12</f>
        <v>9.9888333333333339</v>
      </c>
      <c r="Q54" s="783">
        <f t="shared" si="13"/>
        <v>99888.333333333343</v>
      </c>
      <c r="S54" s="784">
        <f>'J-2'!$I$26</f>
        <v>3.0999999999999999E-3</v>
      </c>
      <c r="U54" s="785">
        <f t="shared" si="14"/>
        <v>867.99689999999998</v>
      </c>
      <c r="W54" s="783">
        <f t="shared" si="15"/>
        <v>100756.33023333334</v>
      </c>
      <c r="Y54" s="786">
        <v>1.4E-3</v>
      </c>
      <c r="AA54" s="787">
        <f t="shared" si="16"/>
        <v>391.99860000000001</v>
      </c>
      <c r="AC54" s="764" t="s">
        <v>912</v>
      </c>
    </row>
    <row r="55" spans="1:29">
      <c r="A55" s="763">
        <f t="shared" si="4"/>
        <v>41</v>
      </c>
      <c r="C55" s="775" t="s">
        <v>922</v>
      </c>
      <c r="D55" s="776"/>
      <c r="E55" s="777" t="s">
        <v>912</v>
      </c>
      <c r="F55" s="777"/>
      <c r="G55" s="777" t="s">
        <v>913</v>
      </c>
      <c r="H55" s="776"/>
      <c r="I55" s="778" t="s">
        <v>923</v>
      </c>
      <c r="J55" s="776"/>
      <c r="K55" s="779">
        <v>200</v>
      </c>
      <c r="L55" s="776"/>
      <c r="M55" s="781">
        <v>2600</v>
      </c>
      <c r="O55" s="782">
        <f>'J-2'!$G$26*365/12</f>
        <v>9.9888333333333339</v>
      </c>
      <c r="Q55" s="783">
        <f t="shared" si="13"/>
        <v>1997.7666666666669</v>
      </c>
      <c r="S55" s="784">
        <f>'J-2'!$I$26</f>
        <v>3.0999999999999999E-3</v>
      </c>
      <c r="U55" s="785">
        <f t="shared" si="14"/>
        <v>8.06</v>
      </c>
      <c r="W55" s="783">
        <f t="shared" si="15"/>
        <v>2005.8266666666668</v>
      </c>
      <c r="Y55" s="786">
        <v>1.4E-3</v>
      </c>
      <c r="AA55" s="787">
        <f t="shared" si="16"/>
        <v>3.64</v>
      </c>
      <c r="AC55" s="764" t="s">
        <v>912</v>
      </c>
    </row>
    <row r="56" spans="1:29">
      <c r="A56" s="763">
        <f t="shared" si="4"/>
        <v>42</v>
      </c>
      <c r="C56" s="775" t="s">
        <v>924</v>
      </c>
      <c r="D56" s="776"/>
      <c r="E56" s="777" t="s">
        <v>912</v>
      </c>
      <c r="F56" s="777"/>
      <c r="G56" s="777" t="s">
        <v>913</v>
      </c>
      <c r="H56" s="776"/>
      <c r="I56" s="778" t="s">
        <v>925</v>
      </c>
      <c r="J56" s="776"/>
      <c r="K56" s="779">
        <v>550</v>
      </c>
      <c r="L56" s="776"/>
      <c r="M56" s="781">
        <v>15400</v>
      </c>
      <c r="O56" s="782">
        <f>'J-2'!$G$26*365/12</f>
        <v>9.9888333333333339</v>
      </c>
      <c r="Q56" s="783">
        <f t="shared" si="13"/>
        <v>5493.8583333333336</v>
      </c>
      <c r="S56" s="784">
        <f>'J-2'!$I$26</f>
        <v>3.0999999999999999E-3</v>
      </c>
      <c r="U56" s="785">
        <f t="shared" si="14"/>
        <v>47.739999999999995</v>
      </c>
      <c r="W56" s="783">
        <f t="shared" si="15"/>
        <v>5541.5983333333334</v>
      </c>
      <c r="Y56" s="786">
        <v>1.4E-3</v>
      </c>
      <c r="AA56" s="787">
        <f t="shared" si="16"/>
        <v>21.56</v>
      </c>
      <c r="AC56" s="764" t="s">
        <v>912</v>
      </c>
    </row>
    <row r="57" spans="1:29">
      <c r="A57" s="763">
        <f t="shared" si="4"/>
        <v>43</v>
      </c>
      <c r="C57" s="775" t="s">
        <v>911</v>
      </c>
      <c r="D57" s="776"/>
      <c r="E57" s="777" t="s">
        <v>912</v>
      </c>
      <c r="F57" s="777"/>
      <c r="G57" s="777" t="s">
        <v>913</v>
      </c>
      <c r="H57" s="776"/>
      <c r="I57" s="778" t="s">
        <v>926</v>
      </c>
      <c r="J57" s="776"/>
      <c r="K57" s="779">
        <v>5661</v>
      </c>
      <c r="L57" s="776"/>
      <c r="M57" s="781">
        <v>158508</v>
      </c>
      <c r="O57" s="782">
        <f>'J-2'!$G$26*365/12</f>
        <v>9.9888333333333339</v>
      </c>
      <c r="Q57" s="783">
        <f t="shared" si="13"/>
        <v>56546.785500000005</v>
      </c>
      <c r="S57" s="784">
        <f>'J-2'!$I$26</f>
        <v>3.0999999999999999E-3</v>
      </c>
      <c r="U57" s="785">
        <f t="shared" si="14"/>
        <v>491.37479999999999</v>
      </c>
      <c r="W57" s="783">
        <f t="shared" si="15"/>
        <v>57038.160300000003</v>
      </c>
      <c r="Y57" s="786">
        <v>1.4E-3</v>
      </c>
      <c r="AA57" s="787">
        <f t="shared" si="16"/>
        <v>221.91120000000001</v>
      </c>
      <c r="AC57" s="764" t="s">
        <v>912</v>
      </c>
    </row>
    <row r="58" spans="1:29">
      <c r="A58" s="763">
        <f t="shared" si="4"/>
        <v>44</v>
      </c>
      <c r="C58" s="775" t="s">
        <v>911</v>
      </c>
      <c r="D58" s="776"/>
      <c r="E58" s="777" t="s">
        <v>912</v>
      </c>
      <c r="F58" s="777"/>
      <c r="G58" s="777" t="s">
        <v>913</v>
      </c>
      <c r="H58" s="776"/>
      <c r="I58" s="778" t="s">
        <v>927</v>
      </c>
      <c r="J58" s="776"/>
      <c r="K58" s="779">
        <v>5690</v>
      </c>
      <c r="L58" s="776"/>
      <c r="M58" s="781">
        <v>159319</v>
      </c>
      <c r="O58" s="782">
        <f>'J-2'!$G$26*365/12</f>
        <v>9.9888333333333339</v>
      </c>
      <c r="Q58" s="783">
        <f t="shared" si="13"/>
        <v>56836.46166666667</v>
      </c>
      <c r="S58" s="784">
        <f>'J-2'!$I$26</f>
        <v>3.0999999999999999E-3</v>
      </c>
      <c r="U58" s="785">
        <f t="shared" si="14"/>
        <v>493.88889999999998</v>
      </c>
      <c r="W58" s="783">
        <f t="shared" si="15"/>
        <v>57330.350566666668</v>
      </c>
      <c r="Y58" s="786">
        <v>1.4E-3</v>
      </c>
      <c r="AA58" s="787">
        <f t="shared" si="16"/>
        <v>223.04659999999998</v>
      </c>
      <c r="AC58" s="764" t="s">
        <v>912</v>
      </c>
    </row>
    <row r="59" spans="1:29">
      <c r="A59" s="763">
        <f t="shared" si="4"/>
        <v>45</v>
      </c>
      <c r="C59" s="775" t="s">
        <v>928</v>
      </c>
      <c r="D59" s="776"/>
      <c r="E59" s="777" t="s">
        <v>912</v>
      </c>
      <c r="F59" s="777"/>
      <c r="G59" s="777" t="s">
        <v>913</v>
      </c>
      <c r="H59" s="776"/>
      <c r="I59" s="778" t="s">
        <v>929</v>
      </c>
      <c r="J59" s="776"/>
      <c r="K59" s="779">
        <v>8000</v>
      </c>
      <c r="L59" s="776"/>
      <c r="M59" s="781">
        <v>210224</v>
      </c>
      <c r="O59" s="782">
        <f>'J-2'!$G$26*365/12</f>
        <v>9.9888333333333339</v>
      </c>
      <c r="Q59" s="783">
        <f t="shared" si="13"/>
        <v>79910.666666666672</v>
      </c>
      <c r="S59" s="784">
        <f>'J-2'!$I$26</f>
        <v>3.0999999999999999E-3</v>
      </c>
      <c r="U59" s="785">
        <f t="shared" si="14"/>
        <v>651.69439999999997</v>
      </c>
      <c r="W59" s="783">
        <f t="shared" si="15"/>
        <v>80562.361066666665</v>
      </c>
      <c r="Y59" s="786">
        <v>1.4E-3</v>
      </c>
      <c r="AA59" s="787">
        <f t="shared" si="16"/>
        <v>294.31360000000001</v>
      </c>
      <c r="AC59" s="764" t="s">
        <v>912</v>
      </c>
    </row>
    <row r="60" spans="1:29">
      <c r="A60" s="763">
        <f t="shared" si="4"/>
        <v>46</v>
      </c>
      <c r="C60" s="775" t="s">
        <v>928</v>
      </c>
      <c r="D60" s="776"/>
      <c r="E60" s="777" t="s">
        <v>912</v>
      </c>
      <c r="F60" s="777"/>
      <c r="G60" s="777" t="s">
        <v>913</v>
      </c>
      <c r="H60" s="776"/>
      <c r="I60" s="778" t="s">
        <v>930</v>
      </c>
      <c r="J60" s="776"/>
      <c r="K60" s="779">
        <v>16500</v>
      </c>
      <c r="L60" s="776"/>
      <c r="M60" s="781">
        <v>154168</v>
      </c>
      <c r="O60" s="782">
        <f>'J-2'!$G$26*365/12</f>
        <v>9.9888333333333339</v>
      </c>
      <c r="Q60" s="783">
        <f t="shared" si="13"/>
        <v>164815.75</v>
      </c>
      <c r="S60" s="784">
        <f>'J-2'!$I$26</f>
        <v>3.0999999999999999E-3</v>
      </c>
      <c r="U60" s="785">
        <f t="shared" si="14"/>
        <v>477.92079999999999</v>
      </c>
      <c r="W60" s="783">
        <f t="shared" si="15"/>
        <v>165293.67079999999</v>
      </c>
      <c r="Y60" s="786">
        <v>1.4E-3</v>
      </c>
      <c r="AA60" s="787">
        <f t="shared" si="16"/>
        <v>215.83519999999999</v>
      </c>
      <c r="AC60" s="764" t="s">
        <v>912</v>
      </c>
    </row>
    <row r="61" spans="1:29">
      <c r="A61" s="763">
        <f t="shared" si="4"/>
        <v>47</v>
      </c>
      <c r="C61" s="775" t="s">
        <v>928</v>
      </c>
      <c r="D61" s="776"/>
      <c r="E61" s="777" t="s">
        <v>912</v>
      </c>
      <c r="F61" s="777"/>
      <c r="G61" s="777" t="s">
        <v>913</v>
      </c>
      <c r="H61" s="776"/>
      <c r="I61" s="778" t="s">
        <v>1021</v>
      </c>
      <c r="J61" s="776"/>
      <c r="K61" s="779">
        <v>5951</v>
      </c>
      <c r="L61" s="780"/>
      <c r="M61" s="789">
        <f>K61*365/12*'G-1 '!$M$504</f>
        <v>0</v>
      </c>
      <c r="N61" s="776"/>
      <c r="O61" s="782">
        <f>'J-2'!$G$26*365/12</f>
        <v>9.9888333333333339</v>
      </c>
      <c r="P61" s="776"/>
      <c r="Q61" s="783">
        <f>K61*O61</f>
        <v>59443.547166666671</v>
      </c>
      <c r="R61" s="776"/>
      <c r="S61" s="784">
        <f>'J-2'!$I$26</f>
        <v>3.0999999999999999E-3</v>
      </c>
      <c r="T61" s="776"/>
      <c r="U61" s="785">
        <f>S61*M61</f>
        <v>0</v>
      </c>
      <c r="V61" s="776"/>
      <c r="W61" s="783">
        <f>U61+Q61</f>
        <v>59443.547166666671</v>
      </c>
      <c r="Y61" s="786">
        <v>1.4E-3</v>
      </c>
      <c r="AA61" s="787">
        <f t="shared" si="16"/>
        <v>0</v>
      </c>
      <c r="AC61" s="764" t="s">
        <v>912</v>
      </c>
    </row>
    <row r="62" spans="1:29">
      <c r="A62" s="763">
        <f t="shared" si="4"/>
        <v>48</v>
      </c>
      <c r="C62" s="775" t="s">
        <v>911</v>
      </c>
      <c r="D62" s="776"/>
      <c r="E62" s="777" t="s">
        <v>912</v>
      </c>
      <c r="F62" s="777"/>
      <c r="G62" s="777" t="s">
        <v>913</v>
      </c>
      <c r="H62" s="776"/>
      <c r="I62" s="778" t="s">
        <v>931</v>
      </c>
      <c r="J62" s="776"/>
      <c r="K62" s="779">
        <v>5722</v>
      </c>
      <c r="L62" s="776"/>
      <c r="M62" s="781">
        <v>160216</v>
      </c>
      <c r="O62" s="782">
        <f>'J-2'!$G$26*365/12</f>
        <v>9.9888333333333339</v>
      </c>
      <c r="Q62" s="783">
        <f t="shared" si="13"/>
        <v>57156.104333333336</v>
      </c>
      <c r="S62" s="784">
        <f>'J-2'!$I$26</f>
        <v>3.0999999999999999E-3</v>
      </c>
      <c r="U62" s="785">
        <f t="shared" si="14"/>
        <v>496.6696</v>
      </c>
      <c r="W62" s="783">
        <f t="shared" si="15"/>
        <v>57652.773933333337</v>
      </c>
      <c r="Y62" s="786">
        <v>1.4E-3</v>
      </c>
      <c r="AA62" s="787">
        <f t="shared" si="16"/>
        <v>224.30240000000001</v>
      </c>
      <c r="AC62" s="764" t="s">
        <v>912</v>
      </c>
    </row>
    <row r="63" spans="1:29">
      <c r="A63" s="763">
        <f t="shared" si="4"/>
        <v>49</v>
      </c>
      <c r="C63" s="775" t="s">
        <v>932</v>
      </c>
      <c r="D63" s="776"/>
      <c r="E63" s="777" t="s">
        <v>912</v>
      </c>
      <c r="F63" s="777"/>
      <c r="G63" s="777" t="s">
        <v>913</v>
      </c>
      <c r="H63" s="776"/>
      <c r="I63" s="778" t="s">
        <v>933</v>
      </c>
      <c r="J63" s="776"/>
      <c r="K63" s="779">
        <v>760</v>
      </c>
      <c r="L63" s="776"/>
      <c r="M63" s="781">
        <v>21267</v>
      </c>
      <c r="O63" s="782">
        <f>'J-2'!$G$26*365/12</f>
        <v>9.9888333333333339</v>
      </c>
      <c r="Q63" s="783">
        <f t="shared" si="13"/>
        <v>7591.5133333333333</v>
      </c>
      <c r="S63" s="784">
        <f>'J-2'!$I$26</f>
        <v>3.0999999999999999E-3</v>
      </c>
      <c r="U63" s="785">
        <f t="shared" si="14"/>
        <v>65.927700000000002</v>
      </c>
      <c r="W63" s="783">
        <f t="shared" si="15"/>
        <v>7657.4410333333335</v>
      </c>
      <c r="Y63" s="786">
        <v>1.4E-3</v>
      </c>
      <c r="AA63" s="787">
        <f t="shared" si="16"/>
        <v>29.773800000000001</v>
      </c>
      <c r="AC63" s="764" t="s">
        <v>912</v>
      </c>
    </row>
    <row r="64" spans="1:29">
      <c r="A64" s="763">
        <f t="shared" si="4"/>
        <v>50</v>
      </c>
      <c r="C64" s="775" t="s">
        <v>922</v>
      </c>
      <c r="D64" s="776"/>
      <c r="E64" s="777" t="s">
        <v>912</v>
      </c>
      <c r="F64" s="777"/>
      <c r="G64" s="777" t="s">
        <v>913</v>
      </c>
      <c r="H64" s="776"/>
      <c r="I64" s="778" t="s">
        <v>934</v>
      </c>
      <c r="J64" s="776"/>
      <c r="K64" s="779">
        <v>150</v>
      </c>
      <c r="L64" s="776"/>
      <c r="M64" s="781">
        <v>1950</v>
      </c>
      <c r="O64" s="782">
        <f>'J-2'!$G$26*365/12</f>
        <v>9.9888333333333339</v>
      </c>
      <c r="Q64" s="783">
        <f t="shared" si="13"/>
        <v>1498.325</v>
      </c>
      <c r="S64" s="784">
        <f>'J-2'!$I$26</f>
        <v>3.0999999999999999E-3</v>
      </c>
      <c r="U64" s="785">
        <f t="shared" si="14"/>
        <v>6.0449999999999999</v>
      </c>
      <c r="W64" s="783">
        <f t="shared" si="15"/>
        <v>1504.3700000000001</v>
      </c>
      <c r="Y64" s="786">
        <v>1.4E-3</v>
      </c>
      <c r="AA64" s="787">
        <f t="shared" si="16"/>
        <v>2.73</v>
      </c>
      <c r="AC64" s="764" t="s">
        <v>912</v>
      </c>
    </row>
    <row r="65" spans="1:33">
      <c r="A65" s="763">
        <f t="shared" si="4"/>
        <v>51</v>
      </c>
      <c r="C65" s="775" t="s">
        <v>922</v>
      </c>
      <c r="D65" s="776"/>
      <c r="E65" s="777" t="s">
        <v>912</v>
      </c>
      <c r="F65" s="777"/>
      <c r="G65" s="777" t="s">
        <v>913</v>
      </c>
      <c r="H65" s="776"/>
      <c r="I65" s="778" t="s">
        <v>935</v>
      </c>
      <c r="J65" s="776"/>
      <c r="K65" s="779">
        <v>250</v>
      </c>
      <c r="L65" s="776"/>
      <c r="M65" s="781">
        <v>4750</v>
      </c>
      <c r="O65" s="782">
        <f>'J-2'!$G$26*365/12</f>
        <v>9.9888333333333339</v>
      </c>
      <c r="Q65" s="783">
        <f t="shared" si="13"/>
        <v>2497.2083333333335</v>
      </c>
      <c r="S65" s="784">
        <f>'J-2'!$I$26</f>
        <v>3.0999999999999999E-3</v>
      </c>
      <c r="U65" s="785">
        <f t="shared" si="14"/>
        <v>14.725</v>
      </c>
      <c r="W65" s="783">
        <f t="shared" si="15"/>
        <v>2511.9333333333334</v>
      </c>
      <c r="Y65" s="786">
        <v>1.4E-3</v>
      </c>
      <c r="AA65" s="787">
        <f t="shared" si="16"/>
        <v>6.65</v>
      </c>
      <c r="AC65" s="764" t="s">
        <v>912</v>
      </c>
    </row>
    <row r="66" spans="1:33">
      <c r="A66" s="763">
        <f t="shared" si="4"/>
        <v>52</v>
      </c>
      <c r="C66" s="775" t="s">
        <v>922</v>
      </c>
      <c r="D66" s="776"/>
      <c r="E66" s="777" t="s">
        <v>912</v>
      </c>
      <c r="F66" s="777"/>
      <c r="G66" s="777" t="s">
        <v>913</v>
      </c>
      <c r="H66" s="776"/>
      <c r="I66" s="778" t="s">
        <v>936</v>
      </c>
      <c r="J66" s="776"/>
      <c r="K66" s="779">
        <v>400</v>
      </c>
      <c r="L66" s="776"/>
      <c r="M66" s="781">
        <v>11200</v>
      </c>
      <c r="O66" s="782">
        <f>'J-2'!$G$26*365/12</f>
        <v>9.9888333333333339</v>
      </c>
      <c r="Q66" s="783">
        <f t="shared" si="13"/>
        <v>3995.5333333333338</v>
      </c>
      <c r="S66" s="784">
        <f>'J-2'!$I$26</f>
        <v>3.0999999999999999E-3</v>
      </c>
      <c r="U66" s="785">
        <f t="shared" si="14"/>
        <v>34.72</v>
      </c>
      <c r="W66" s="783">
        <f t="shared" si="15"/>
        <v>4030.2533333333336</v>
      </c>
      <c r="Y66" s="786">
        <v>1.4E-3</v>
      </c>
      <c r="AA66" s="787">
        <f t="shared" si="16"/>
        <v>15.68</v>
      </c>
      <c r="AC66" s="764" t="s">
        <v>912</v>
      </c>
    </row>
    <row r="67" spans="1:33">
      <c r="A67" s="763">
        <f t="shared" si="4"/>
        <v>53</v>
      </c>
      <c r="C67" s="775" t="s">
        <v>911</v>
      </c>
      <c r="D67" s="776"/>
      <c r="E67" s="777" t="s">
        <v>912</v>
      </c>
      <c r="F67" s="777"/>
      <c r="G67" s="777" t="s">
        <v>913</v>
      </c>
      <c r="H67" s="776"/>
      <c r="I67" s="778" t="s">
        <v>937</v>
      </c>
      <c r="J67" s="776"/>
      <c r="K67" s="779">
        <v>40000</v>
      </c>
      <c r="L67" s="776"/>
      <c r="M67" s="781">
        <v>1118448</v>
      </c>
      <c r="O67" s="782">
        <f>'J-2'!$G$26*365/12</f>
        <v>9.9888333333333339</v>
      </c>
      <c r="Q67" s="783">
        <f t="shared" si="13"/>
        <v>399553.33333333337</v>
      </c>
      <c r="S67" s="784">
        <f>'J-2'!$I$26</f>
        <v>3.0999999999999999E-3</v>
      </c>
      <c r="U67" s="785">
        <f t="shared" si="14"/>
        <v>3467.1887999999999</v>
      </c>
      <c r="W67" s="783">
        <f t="shared" si="15"/>
        <v>403020.52213333338</v>
      </c>
      <c r="Y67" s="786">
        <v>1.4E-3</v>
      </c>
      <c r="AA67" s="787">
        <f t="shared" si="16"/>
        <v>1565.8271999999999</v>
      </c>
      <c r="AC67" s="764" t="s">
        <v>912</v>
      </c>
    </row>
    <row r="68" spans="1:33">
      <c r="A68" s="763">
        <f t="shared" si="4"/>
        <v>54</v>
      </c>
      <c r="C68" s="775" t="s">
        <v>938</v>
      </c>
      <c r="D68" s="776"/>
      <c r="E68" s="777" t="s">
        <v>912</v>
      </c>
      <c r="F68" s="777"/>
      <c r="G68" s="777" t="s">
        <v>913</v>
      </c>
      <c r="H68" s="776"/>
      <c r="I68" s="778" t="s">
        <v>939</v>
      </c>
      <c r="J68" s="776"/>
      <c r="K68" s="779">
        <v>800</v>
      </c>
      <c r="L68" s="776"/>
      <c r="M68" s="781">
        <v>16797</v>
      </c>
      <c r="O68" s="782">
        <f>'J-2'!$G$26*365/12</f>
        <v>9.9888333333333339</v>
      </c>
      <c r="Q68" s="783">
        <f t="shared" si="13"/>
        <v>7991.0666666666675</v>
      </c>
      <c r="S68" s="784">
        <f>'J-2'!$I$26</f>
        <v>3.0999999999999999E-3</v>
      </c>
      <c r="U68" s="785">
        <f t="shared" si="14"/>
        <v>52.070699999999995</v>
      </c>
      <c r="W68" s="783">
        <f t="shared" si="15"/>
        <v>8043.1373666666677</v>
      </c>
      <c r="Y68" s="786">
        <v>1.4E-3</v>
      </c>
      <c r="AA68" s="787">
        <f t="shared" si="16"/>
        <v>23.515799999999999</v>
      </c>
      <c r="AC68" s="764" t="s">
        <v>912</v>
      </c>
    </row>
    <row r="69" spans="1:33">
      <c r="A69" s="763">
        <f t="shared" si="4"/>
        <v>55</v>
      </c>
      <c r="C69" s="775" t="s">
        <v>938</v>
      </c>
      <c r="D69" s="776"/>
      <c r="E69" s="777" t="s">
        <v>912</v>
      </c>
      <c r="F69" s="777"/>
      <c r="G69" s="777" t="s">
        <v>913</v>
      </c>
      <c r="H69" s="776"/>
      <c r="I69" s="778" t="s">
        <v>940</v>
      </c>
      <c r="J69" s="776"/>
      <c r="K69" s="779">
        <v>200</v>
      </c>
      <c r="L69" s="776"/>
      <c r="M69" s="781">
        <v>5499</v>
      </c>
      <c r="O69" s="782">
        <f>'J-2'!$G$26*365/12</f>
        <v>9.9888333333333339</v>
      </c>
      <c r="Q69" s="783">
        <f t="shared" si="13"/>
        <v>1997.7666666666669</v>
      </c>
      <c r="S69" s="784">
        <f>'J-2'!$I$26</f>
        <v>3.0999999999999999E-3</v>
      </c>
      <c r="U69" s="785">
        <f t="shared" si="14"/>
        <v>17.046900000000001</v>
      </c>
      <c r="W69" s="783">
        <f t="shared" si="15"/>
        <v>2014.8135666666669</v>
      </c>
      <c r="Y69" s="786">
        <v>1.4E-3</v>
      </c>
      <c r="AA69" s="787">
        <f t="shared" si="16"/>
        <v>7.6985999999999999</v>
      </c>
      <c r="AC69" s="764" t="s">
        <v>912</v>
      </c>
    </row>
    <row r="70" spans="1:33">
      <c r="A70" s="763">
        <f t="shared" si="4"/>
        <v>56</v>
      </c>
      <c r="C70" s="775" t="s">
        <v>938</v>
      </c>
      <c r="D70" s="776"/>
      <c r="E70" s="777" t="s">
        <v>912</v>
      </c>
      <c r="F70" s="777"/>
      <c r="G70" s="777" t="s">
        <v>913</v>
      </c>
      <c r="H70" s="776"/>
      <c r="I70" s="778" t="s">
        <v>941</v>
      </c>
      <c r="J70" s="776"/>
      <c r="K70" s="779">
        <v>400</v>
      </c>
      <c r="L70" s="776"/>
      <c r="M70" s="781">
        <v>11198</v>
      </c>
      <c r="O70" s="782">
        <f>'J-2'!$G$26*365/12</f>
        <v>9.9888333333333339</v>
      </c>
      <c r="Q70" s="783">
        <f t="shared" si="13"/>
        <v>3995.5333333333338</v>
      </c>
      <c r="S70" s="784">
        <f>'J-2'!$I$26</f>
        <v>3.0999999999999999E-3</v>
      </c>
      <c r="U70" s="785">
        <f t="shared" si="14"/>
        <v>34.713799999999999</v>
      </c>
      <c r="W70" s="783">
        <f t="shared" si="15"/>
        <v>4030.2471333333337</v>
      </c>
      <c r="Y70" s="786">
        <v>1.4E-3</v>
      </c>
      <c r="AA70" s="787">
        <f t="shared" si="16"/>
        <v>15.677199999999999</v>
      </c>
      <c r="AC70" s="764" t="s">
        <v>912</v>
      </c>
    </row>
    <row r="71" spans="1:33">
      <c r="A71" s="763">
        <f t="shared" si="4"/>
        <v>57</v>
      </c>
      <c r="C71" s="790" t="s">
        <v>960</v>
      </c>
      <c r="K71" s="791">
        <f>SUM(K50:K70)</f>
        <v>209934</v>
      </c>
      <c r="M71" s="792">
        <f>SUM(M50:M70)</f>
        <v>3233565</v>
      </c>
      <c r="Q71" s="793">
        <f>SUM(Q50:Q70)</f>
        <v>2096995.7370000002</v>
      </c>
      <c r="U71" s="793">
        <f>SUM(U50:U70)</f>
        <v>10024.0515</v>
      </c>
      <c r="W71" s="793">
        <f>SUM(W50:W70)</f>
        <v>2107019.7884999998</v>
      </c>
      <c r="AA71" s="793">
        <f>SUM(AA50:AA70)</f>
        <v>4526.991</v>
      </c>
    </row>
    <row r="72" spans="1:33">
      <c r="A72" s="763" t="str">
        <f t="shared" si="4"/>
        <v/>
      </c>
      <c r="C72" s="790" t="s">
        <v>961</v>
      </c>
      <c r="D72" s="776"/>
      <c r="E72" s="777"/>
      <c r="F72" s="777"/>
      <c r="G72" s="777"/>
      <c r="H72" s="776"/>
      <c r="I72" s="777"/>
      <c r="J72" s="776"/>
      <c r="K72" s="794"/>
      <c r="L72" s="776"/>
      <c r="M72" s="780"/>
      <c r="N72" s="776"/>
      <c r="O72" s="776"/>
      <c r="P72" s="776"/>
      <c r="Q72" s="776"/>
      <c r="R72" s="776"/>
      <c r="S72" s="776"/>
      <c r="T72" s="776"/>
      <c r="U72" s="776"/>
      <c r="V72" s="776"/>
      <c r="W72" s="776"/>
      <c r="AG72" s="797"/>
    </row>
    <row r="73" spans="1:33">
      <c r="A73" s="763">
        <v>58</v>
      </c>
      <c r="C73" s="775" t="s">
        <v>932</v>
      </c>
      <c r="D73" s="776"/>
      <c r="E73" s="777" t="s">
        <v>912</v>
      </c>
      <c r="F73" s="777"/>
      <c r="G73" s="777" t="s">
        <v>962</v>
      </c>
      <c r="H73" s="776"/>
      <c r="I73" s="778" t="s">
        <v>965</v>
      </c>
      <c r="J73" s="776"/>
      <c r="K73" s="779"/>
      <c r="L73" s="776"/>
      <c r="M73" s="781">
        <v>4200</v>
      </c>
      <c r="N73" s="776"/>
      <c r="O73" s="782">
        <f>'J-2'!$G$26*365/12</f>
        <v>9.9888333333333339</v>
      </c>
      <c r="P73" s="776"/>
      <c r="Q73" s="783">
        <f t="shared" ref="Q73:Q80" si="17">K73*O73</f>
        <v>0</v>
      </c>
      <c r="R73" s="776"/>
      <c r="S73" s="784">
        <f>'J-2'!$I$26</f>
        <v>3.0999999999999999E-3</v>
      </c>
      <c r="T73" s="776"/>
      <c r="U73" s="785">
        <f t="shared" ref="U73:U80" si="18">S73*M73</f>
        <v>13.02</v>
      </c>
      <c r="V73" s="776"/>
      <c r="W73" s="783">
        <f t="shared" ref="W73:W80" si="19">U73+Q73</f>
        <v>13.02</v>
      </c>
      <c r="Y73" s="786">
        <v>1.4E-3</v>
      </c>
      <c r="AA73" s="787">
        <f t="shared" ref="AA73:AA80" si="20">Y73*M73</f>
        <v>5.88</v>
      </c>
      <c r="AC73" s="764" t="s">
        <v>912</v>
      </c>
    </row>
    <row r="74" spans="1:33">
      <c r="A74" s="763">
        <f t="shared" si="4"/>
        <v>59</v>
      </c>
      <c r="C74" s="775" t="s">
        <v>966</v>
      </c>
      <c r="D74" s="776"/>
      <c r="E74" s="777" t="s">
        <v>912</v>
      </c>
      <c r="F74" s="777"/>
      <c r="G74" s="777" t="s">
        <v>962</v>
      </c>
      <c r="H74" s="776"/>
      <c r="I74" s="778" t="s">
        <v>967</v>
      </c>
      <c r="J74" s="776"/>
      <c r="K74" s="779"/>
      <c r="L74" s="776"/>
      <c r="M74" s="781">
        <v>157046</v>
      </c>
      <c r="N74" s="776"/>
      <c r="O74" s="782">
        <f>'J-2'!$G$26*365/12</f>
        <v>9.9888333333333339</v>
      </c>
      <c r="P74" s="776"/>
      <c r="Q74" s="783">
        <f t="shared" si="17"/>
        <v>0</v>
      </c>
      <c r="R74" s="776"/>
      <c r="S74" s="784">
        <f>'J-2'!$I$26</f>
        <v>3.0999999999999999E-3</v>
      </c>
      <c r="T74" s="776"/>
      <c r="U74" s="785">
        <f t="shared" si="18"/>
        <v>486.8426</v>
      </c>
      <c r="V74" s="776"/>
      <c r="W74" s="783">
        <f t="shared" si="19"/>
        <v>486.8426</v>
      </c>
      <c r="Y74" s="786">
        <v>1.4E-3</v>
      </c>
      <c r="AA74" s="787">
        <f t="shared" si="20"/>
        <v>219.86439999999999</v>
      </c>
      <c r="AC74" s="764" t="s">
        <v>912</v>
      </c>
    </row>
    <row r="75" spans="1:33">
      <c r="A75" s="763">
        <f t="shared" si="4"/>
        <v>60</v>
      </c>
      <c r="C75" s="775" t="s">
        <v>966</v>
      </c>
      <c r="D75" s="776"/>
      <c r="E75" s="777" t="s">
        <v>912</v>
      </c>
      <c r="F75" s="777"/>
      <c r="G75" s="777" t="s">
        <v>962</v>
      </c>
      <c r="H75" s="776"/>
      <c r="I75" s="778" t="s">
        <v>968</v>
      </c>
      <c r="J75" s="776"/>
      <c r="K75" s="779"/>
      <c r="L75" s="776"/>
      <c r="M75" s="781">
        <v>6594</v>
      </c>
      <c r="N75" s="776"/>
      <c r="O75" s="782">
        <f>'J-2'!$G$26*365/12</f>
        <v>9.9888333333333339</v>
      </c>
      <c r="P75" s="776"/>
      <c r="Q75" s="783">
        <f t="shared" si="17"/>
        <v>0</v>
      </c>
      <c r="R75" s="776"/>
      <c r="S75" s="784">
        <f>'J-2'!$I$26</f>
        <v>3.0999999999999999E-3</v>
      </c>
      <c r="T75" s="776"/>
      <c r="U75" s="785">
        <f t="shared" si="18"/>
        <v>20.441399999999998</v>
      </c>
      <c r="V75" s="776"/>
      <c r="W75" s="783">
        <f t="shared" si="19"/>
        <v>20.441399999999998</v>
      </c>
      <c r="Y75" s="786">
        <v>1.4E-3</v>
      </c>
      <c r="AA75" s="787">
        <f t="shared" si="20"/>
        <v>9.2316000000000003</v>
      </c>
      <c r="AC75" s="764" t="s">
        <v>912</v>
      </c>
    </row>
    <row r="76" spans="1:33">
      <c r="A76" s="763">
        <f t="shared" ref="A76:A139" si="21">IF(OR(K76/2&gt;0,M76/2&gt;0),A75+1,"")</f>
        <v>61</v>
      </c>
      <c r="C76" s="775" t="s">
        <v>958</v>
      </c>
      <c r="D76" s="776"/>
      <c r="E76" s="777" t="s">
        <v>912</v>
      </c>
      <c r="F76" s="777"/>
      <c r="G76" s="777" t="s">
        <v>962</v>
      </c>
      <c r="H76" s="776"/>
      <c r="I76" s="778" t="s">
        <v>964</v>
      </c>
      <c r="J76" s="776"/>
      <c r="K76" s="779"/>
      <c r="L76" s="776"/>
      <c r="M76" s="781">
        <v>8400</v>
      </c>
      <c r="N76" s="776"/>
      <c r="O76" s="782">
        <f>'J-2'!$G$26*365/12</f>
        <v>9.9888333333333339</v>
      </c>
      <c r="P76" s="776"/>
      <c r="Q76" s="783">
        <f t="shared" si="17"/>
        <v>0</v>
      </c>
      <c r="R76" s="776"/>
      <c r="S76" s="784">
        <f>'J-2'!$I$26</f>
        <v>3.0999999999999999E-3</v>
      </c>
      <c r="T76" s="776"/>
      <c r="U76" s="785">
        <f t="shared" si="18"/>
        <v>26.04</v>
      </c>
      <c r="V76" s="776"/>
      <c r="W76" s="783">
        <f t="shared" si="19"/>
        <v>26.04</v>
      </c>
      <c r="Y76" s="786">
        <v>1.4E-3</v>
      </c>
      <c r="AA76" s="787">
        <f t="shared" si="20"/>
        <v>11.76</v>
      </c>
      <c r="AC76" s="764" t="s">
        <v>912</v>
      </c>
    </row>
    <row r="77" spans="1:33">
      <c r="A77" s="763">
        <f t="shared" si="21"/>
        <v>62</v>
      </c>
      <c r="C77" s="775" t="s">
        <v>948</v>
      </c>
      <c r="D77" s="776"/>
      <c r="E77" s="777" t="s">
        <v>912</v>
      </c>
      <c r="F77" s="777"/>
      <c r="G77" s="777" t="s">
        <v>962</v>
      </c>
      <c r="H77" s="776"/>
      <c r="I77" s="778" t="s">
        <v>963</v>
      </c>
      <c r="J77" s="776"/>
      <c r="K77" s="779"/>
      <c r="L77" s="776"/>
      <c r="M77" s="781">
        <v>5600</v>
      </c>
      <c r="N77" s="776"/>
      <c r="O77" s="782">
        <f>'J-2'!$G$26*365/12</f>
        <v>9.9888333333333339</v>
      </c>
      <c r="P77" s="776"/>
      <c r="Q77" s="783">
        <f t="shared" si="17"/>
        <v>0</v>
      </c>
      <c r="R77" s="776"/>
      <c r="S77" s="784">
        <f>'J-2'!$I$26</f>
        <v>3.0999999999999999E-3</v>
      </c>
      <c r="T77" s="776"/>
      <c r="U77" s="785">
        <f t="shared" si="18"/>
        <v>17.36</v>
      </c>
      <c r="V77" s="776"/>
      <c r="W77" s="783">
        <f t="shared" si="19"/>
        <v>17.36</v>
      </c>
      <c r="Y77" s="786">
        <v>1.4E-3</v>
      </c>
      <c r="AA77" s="787">
        <f t="shared" si="20"/>
        <v>7.84</v>
      </c>
      <c r="AC77" s="764" t="s">
        <v>912</v>
      </c>
    </row>
    <row r="78" spans="1:33">
      <c r="A78" s="763">
        <f t="shared" si="21"/>
        <v>63</v>
      </c>
      <c r="C78" s="775" t="s">
        <v>972</v>
      </c>
      <c r="D78" s="776"/>
      <c r="E78" s="777" t="s">
        <v>912</v>
      </c>
      <c r="F78" s="777"/>
      <c r="G78" s="777" t="s">
        <v>970</v>
      </c>
      <c r="H78" s="776"/>
      <c r="I78" s="778" t="s">
        <v>973</v>
      </c>
      <c r="J78" s="776"/>
      <c r="K78" s="779">
        <v>150</v>
      </c>
      <c r="L78" s="776"/>
      <c r="M78" s="781">
        <v>0</v>
      </c>
      <c r="N78" s="776"/>
      <c r="O78" s="782">
        <f>'J-2'!$G$26*365/12</f>
        <v>9.9888333333333339</v>
      </c>
      <c r="P78" s="776"/>
      <c r="Q78" s="783">
        <f t="shared" si="17"/>
        <v>1498.325</v>
      </c>
      <c r="R78" s="776"/>
      <c r="S78" s="784">
        <f>'J-2'!$I$26</f>
        <v>3.0999999999999999E-3</v>
      </c>
      <c r="T78" s="776"/>
      <c r="U78" s="785">
        <f t="shared" si="18"/>
        <v>0</v>
      </c>
      <c r="V78" s="776"/>
      <c r="W78" s="783">
        <f t="shared" si="19"/>
        <v>1498.325</v>
      </c>
      <c r="Y78" s="786">
        <v>1.4E-3</v>
      </c>
      <c r="AA78" s="787">
        <f t="shared" si="20"/>
        <v>0</v>
      </c>
      <c r="AC78" s="764" t="s">
        <v>912</v>
      </c>
    </row>
    <row r="79" spans="1:33">
      <c r="A79" s="763">
        <f t="shared" si="21"/>
        <v>64</v>
      </c>
      <c r="C79" s="775" t="s">
        <v>974</v>
      </c>
      <c r="D79" s="776"/>
      <c r="E79" s="777" t="s">
        <v>912</v>
      </c>
      <c r="F79" s="777"/>
      <c r="G79" s="777" t="s">
        <v>970</v>
      </c>
      <c r="H79" s="776"/>
      <c r="I79" s="778" t="s">
        <v>975</v>
      </c>
      <c r="J79" s="776"/>
      <c r="K79" s="794">
        <v>20000</v>
      </c>
      <c r="L79" s="776"/>
      <c r="M79" s="781">
        <v>0</v>
      </c>
      <c r="N79" s="776"/>
      <c r="O79" s="782">
        <f>'J-2'!$G$26*365/12</f>
        <v>9.9888333333333339</v>
      </c>
      <c r="P79" s="776"/>
      <c r="Q79" s="783">
        <f t="shared" si="17"/>
        <v>199776.66666666669</v>
      </c>
      <c r="R79" s="776"/>
      <c r="S79" s="784">
        <f>'J-2'!$I$26</f>
        <v>3.0999999999999999E-3</v>
      </c>
      <c r="T79" s="776"/>
      <c r="U79" s="785">
        <f t="shared" si="18"/>
        <v>0</v>
      </c>
      <c r="V79" s="776"/>
      <c r="W79" s="783">
        <f t="shared" si="19"/>
        <v>199776.66666666669</v>
      </c>
      <c r="Y79" s="786">
        <v>1.4E-3</v>
      </c>
      <c r="AA79" s="787">
        <f t="shared" si="20"/>
        <v>0</v>
      </c>
      <c r="AC79" s="764" t="s">
        <v>912</v>
      </c>
    </row>
    <row r="80" spans="1:33">
      <c r="A80" s="763">
        <f t="shared" si="21"/>
        <v>65</v>
      </c>
      <c r="C80" s="775" t="s">
        <v>969</v>
      </c>
      <c r="D80" s="776"/>
      <c r="E80" s="777" t="s">
        <v>912</v>
      </c>
      <c r="F80" s="777"/>
      <c r="G80" s="777" t="s">
        <v>970</v>
      </c>
      <c r="H80" s="776"/>
      <c r="I80" s="778" t="s">
        <v>971</v>
      </c>
      <c r="J80" s="776"/>
      <c r="K80" s="779">
        <v>500</v>
      </c>
      <c r="L80" s="776"/>
      <c r="M80" s="781">
        <v>0</v>
      </c>
      <c r="N80" s="776"/>
      <c r="O80" s="782">
        <f>'J-2'!$G$26*365/12</f>
        <v>9.9888333333333339</v>
      </c>
      <c r="P80" s="776"/>
      <c r="Q80" s="783">
        <f t="shared" si="17"/>
        <v>4994.416666666667</v>
      </c>
      <c r="R80" s="776"/>
      <c r="S80" s="784">
        <f>'J-2'!$I$26</f>
        <v>3.0999999999999999E-3</v>
      </c>
      <c r="T80" s="776"/>
      <c r="U80" s="785">
        <f t="shared" si="18"/>
        <v>0</v>
      </c>
      <c r="V80" s="776"/>
      <c r="W80" s="783">
        <f t="shared" si="19"/>
        <v>4994.416666666667</v>
      </c>
      <c r="Y80" s="786">
        <v>1.4E-3</v>
      </c>
      <c r="AA80" s="787">
        <f t="shared" si="20"/>
        <v>0</v>
      </c>
      <c r="AC80" s="764" t="s">
        <v>912</v>
      </c>
    </row>
    <row r="81" spans="1:29">
      <c r="A81" s="763">
        <f t="shared" si="21"/>
        <v>66</v>
      </c>
      <c r="C81" s="790" t="s">
        <v>976</v>
      </c>
      <c r="D81" s="776"/>
      <c r="E81" s="777"/>
      <c r="F81" s="777"/>
      <c r="G81" s="777"/>
      <c r="H81" s="776"/>
      <c r="I81" s="777"/>
      <c r="J81" s="776"/>
      <c r="K81" s="791">
        <f>SUM(K73:K80)</f>
        <v>20650</v>
      </c>
      <c r="L81" s="776"/>
      <c r="M81" s="792">
        <f>SUM(M73:M80)</f>
        <v>181840</v>
      </c>
      <c r="N81" s="776"/>
      <c r="O81" s="776"/>
      <c r="P81" s="776"/>
      <c r="Q81" s="793">
        <f>SUM(Q73:Q80)</f>
        <v>206269.40833333335</v>
      </c>
      <c r="R81" s="776"/>
      <c r="S81" s="776"/>
      <c r="T81" s="776"/>
      <c r="U81" s="793">
        <f>SUM(U73:U80)</f>
        <v>563.70399999999995</v>
      </c>
      <c r="V81" s="776"/>
      <c r="W81" s="793">
        <f>SUM(W73:W80)</f>
        <v>206833.11233333335</v>
      </c>
    </row>
    <row r="82" spans="1:29">
      <c r="A82" s="763" t="str">
        <f t="shared" si="21"/>
        <v/>
      </c>
      <c r="C82" s="790" t="s">
        <v>877</v>
      </c>
      <c r="D82" s="776"/>
      <c r="E82" s="777"/>
      <c r="F82" s="777"/>
      <c r="G82" s="777"/>
      <c r="H82" s="776"/>
      <c r="I82" s="777"/>
      <c r="J82" s="776"/>
      <c r="K82" s="794"/>
      <c r="L82" s="776"/>
      <c r="M82" s="780"/>
      <c r="N82" s="776"/>
      <c r="O82" s="776"/>
      <c r="P82" s="776"/>
      <c r="Q82" s="776"/>
      <c r="R82" s="776"/>
      <c r="S82" s="776"/>
      <c r="T82" s="776"/>
      <c r="U82" s="776"/>
      <c r="V82" s="776"/>
      <c r="W82" s="776"/>
    </row>
    <row r="83" spans="1:29">
      <c r="A83" s="763">
        <v>67</v>
      </c>
      <c r="C83" s="775" t="s">
        <v>932</v>
      </c>
      <c r="D83" s="776"/>
      <c r="E83" s="777" t="s">
        <v>912</v>
      </c>
      <c r="F83" s="777"/>
      <c r="G83" s="777" t="s">
        <v>977</v>
      </c>
      <c r="H83" s="776"/>
      <c r="I83" s="778" t="s">
        <v>978</v>
      </c>
      <c r="J83" s="776"/>
      <c r="K83" s="794">
        <v>0</v>
      </c>
      <c r="L83" s="776"/>
      <c r="M83" s="781">
        <v>45472</v>
      </c>
      <c r="N83" s="776"/>
      <c r="O83" s="782">
        <v>0</v>
      </c>
      <c r="P83" s="776"/>
      <c r="Q83" s="783">
        <f t="shared" ref="Q83:Q85" si="22">K83*O83</f>
        <v>0</v>
      </c>
      <c r="R83" s="776"/>
      <c r="S83" s="784">
        <f>'J-2'!$K$28</f>
        <v>0.33150000000000002</v>
      </c>
      <c r="T83" s="776"/>
      <c r="U83" s="783">
        <f>S83*M83</f>
        <v>15073.968000000001</v>
      </c>
      <c r="V83" s="776"/>
      <c r="W83" s="783">
        <f t="shared" ref="W83:W85" si="23">U83+Q83</f>
        <v>15073.968000000001</v>
      </c>
      <c r="Y83" s="786">
        <v>1.4E-3</v>
      </c>
      <c r="AA83" s="787">
        <f t="shared" ref="AA83:AA85" si="24">Y83*M83</f>
        <v>63.660800000000002</v>
      </c>
      <c r="AC83" s="764" t="s">
        <v>912</v>
      </c>
    </row>
    <row r="84" spans="1:29">
      <c r="A84" s="763">
        <f t="shared" si="21"/>
        <v>68</v>
      </c>
      <c r="C84" s="775" t="s">
        <v>980</v>
      </c>
      <c r="D84" s="776"/>
      <c r="E84" s="777" t="s">
        <v>912</v>
      </c>
      <c r="F84" s="777"/>
      <c r="G84" s="777" t="s">
        <v>977</v>
      </c>
      <c r="H84" s="776"/>
      <c r="I84" s="778" t="s">
        <v>981</v>
      </c>
      <c r="J84" s="776"/>
      <c r="K84" s="794">
        <v>0</v>
      </c>
      <c r="L84" s="776"/>
      <c r="M84" s="781">
        <v>9800</v>
      </c>
      <c r="N84" s="776"/>
      <c r="O84" s="782">
        <v>0</v>
      </c>
      <c r="P84" s="776"/>
      <c r="Q84" s="783">
        <f t="shared" si="22"/>
        <v>0</v>
      </c>
      <c r="R84" s="776"/>
      <c r="S84" s="784">
        <f>'J-2'!$K$28</f>
        <v>0.33150000000000002</v>
      </c>
      <c r="T84" s="776"/>
      <c r="U84" s="783">
        <f t="shared" ref="U84:U85" si="25">S84*M84</f>
        <v>3248.7000000000003</v>
      </c>
      <c r="V84" s="776"/>
      <c r="W84" s="783">
        <f t="shared" si="23"/>
        <v>3248.7000000000003</v>
      </c>
      <c r="Y84" s="786">
        <v>1.4E-3</v>
      </c>
      <c r="AA84" s="787">
        <f t="shared" si="24"/>
        <v>13.72</v>
      </c>
      <c r="AC84" s="764" t="s">
        <v>912</v>
      </c>
    </row>
    <row r="85" spans="1:29">
      <c r="A85" s="763">
        <f t="shared" si="21"/>
        <v>69</v>
      </c>
      <c r="C85" s="775" t="s">
        <v>942</v>
      </c>
      <c r="D85" s="776"/>
      <c r="E85" s="777" t="s">
        <v>912</v>
      </c>
      <c r="F85" s="777"/>
      <c r="G85" s="777" t="s">
        <v>977</v>
      </c>
      <c r="H85" s="776"/>
      <c r="I85" s="778" t="s">
        <v>984</v>
      </c>
      <c r="J85" s="776"/>
      <c r="K85" s="794">
        <v>0</v>
      </c>
      <c r="L85" s="776"/>
      <c r="M85" s="781">
        <v>190</v>
      </c>
      <c r="N85" s="776"/>
      <c r="O85" s="782">
        <v>0</v>
      </c>
      <c r="P85" s="776"/>
      <c r="Q85" s="783">
        <f t="shared" si="22"/>
        <v>0</v>
      </c>
      <c r="R85" s="776"/>
      <c r="S85" s="784">
        <f>'J-2'!$K$28</f>
        <v>0.33150000000000002</v>
      </c>
      <c r="T85" s="776"/>
      <c r="U85" s="783">
        <f t="shared" si="25"/>
        <v>62.985000000000007</v>
      </c>
      <c r="V85" s="776"/>
      <c r="W85" s="783">
        <f t="shared" si="23"/>
        <v>62.985000000000007</v>
      </c>
      <c r="Y85" s="786">
        <v>1.4E-3</v>
      </c>
      <c r="AA85" s="787">
        <f t="shared" si="24"/>
        <v>0.26600000000000001</v>
      </c>
      <c r="AC85" s="764" t="s">
        <v>912</v>
      </c>
    </row>
    <row r="86" spans="1:29">
      <c r="A86" s="763">
        <f t="shared" si="21"/>
        <v>70</v>
      </c>
      <c r="C86" s="790" t="s">
        <v>982</v>
      </c>
      <c r="D86" s="776"/>
      <c r="E86" s="777"/>
      <c r="F86" s="777"/>
      <c r="G86" s="777"/>
      <c r="H86" s="776"/>
      <c r="I86" s="777"/>
      <c r="J86" s="776"/>
      <c r="K86" s="791">
        <f>SUM(K83:K85)</f>
        <v>0</v>
      </c>
      <c r="L86" s="776"/>
      <c r="M86" s="792">
        <f>SUM(M83:M85)</f>
        <v>55462</v>
      </c>
      <c r="N86" s="776"/>
      <c r="O86" s="776"/>
      <c r="P86" s="776"/>
      <c r="Q86" s="793">
        <f>SUM(Q83:Q85)</f>
        <v>0</v>
      </c>
      <c r="R86" s="776"/>
      <c r="S86" s="776"/>
      <c r="T86" s="776"/>
      <c r="U86" s="793">
        <f>SUM(U83:U85)</f>
        <v>18385.653000000002</v>
      </c>
      <c r="V86" s="776"/>
      <c r="W86" s="793">
        <f>SUM(W83:W85)</f>
        <v>18385.653000000002</v>
      </c>
      <c r="AA86" s="793">
        <f>SUM(AA83:AA85)</f>
        <v>77.646800000000013</v>
      </c>
    </row>
    <row r="87" spans="1:29">
      <c r="A87" s="763" t="str">
        <f t="shared" si="21"/>
        <v/>
      </c>
      <c r="C87" s="776"/>
      <c r="D87" s="776"/>
      <c r="E87" s="777"/>
      <c r="F87" s="777"/>
      <c r="G87" s="777"/>
      <c r="H87" s="776"/>
      <c r="I87" s="777"/>
      <c r="J87" s="776"/>
      <c r="K87" s="794"/>
      <c r="L87" s="776"/>
      <c r="M87" s="780"/>
      <c r="N87" s="776"/>
      <c r="O87" s="776"/>
      <c r="P87" s="776"/>
      <c r="Q87" s="776"/>
      <c r="R87" s="776"/>
      <c r="S87" s="776"/>
      <c r="T87" s="776"/>
      <c r="U87" s="776"/>
      <c r="V87" s="776"/>
      <c r="W87" s="776"/>
    </row>
    <row r="88" spans="1:29">
      <c r="A88" s="763" t="str">
        <f t="shared" si="21"/>
        <v/>
      </c>
      <c r="C88" s="768" t="s">
        <v>985</v>
      </c>
      <c r="D88" s="768"/>
      <c r="E88" s="768"/>
      <c r="F88" s="768"/>
      <c r="G88" s="768"/>
      <c r="H88" s="768"/>
      <c r="I88" s="768"/>
      <c r="J88" s="768"/>
      <c r="K88" s="768"/>
      <c r="L88" s="768"/>
      <c r="M88" s="768"/>
      <c r="N88" s="768"/>
      <c r="O88" s="768"/>
      <c r="P88" s="768"/>
      <c r="Q88" s="768"/>
      <c r="R88" s="768"/>
      <c r="S88" s="768"/>
      <c r="T88" s="768"/>
      <c r="U88" s="768"/>
      <c r="V88" s="768"/>
      <c r="W88" s="768"/>
      <c r="X88" s="768"/>
      <c r="Y88" s="768"/>
      <c r="Z88" s="768"/>
      <c r="AA88" s="768"/>
      <c r="AB88" s="768"/>
      <c r="AC88" s="768"/>
    </row>
    <row r="89" spans="1:29" s="769" customFormat="1">
      <c r="A89" s="763" t="str">
        <f t="shared" si="21"/>
        <v/>
      </c>
      <c r="C89" s="770" t="s">
        <v>876</v>
      </c>
      <c r="D89" s="771"/>
      <c r="E89" s="772"/>
      <c r="F89" s="772"/>
      <c r="G89" s="772"/>
      <c r="H89" s="771"/>
      <c r="I89" s="772"/>
      <c r="J89" s="771"/>
      <c r="K89" s="773"/>
      <c r="L89" s="771"/>
      <c r="M89" s="774"/>
      <c r="N89" s="771"/>
      <c r="O89" s="771"/>
      <c r="P89" s="771"/>
      <c r="Q89" s="771"/>
      <c r="R89" s="771"/>
      <c r="S89" s="771"/>
      <c r="T89" s="771"/>
      <c r="U89" s="771"/>
      <c r="V89" s="771"/>
      <c r="W89" s="771"/>
      <c r="X89" s="771"/>
      <c r="Y89" s="771"/>
      <c r="Z89" s="771"/>
      <c r="AA89" s="771"/>
      <c r="AB89" s="771"/>
      <c r="AC89" s="771"/>
    </row>
    <row r="90" spans="1:29">
      <c r="A90" s="763">
        <v>71</v>
      </c>
      <c r="C90" s="775" t="s">
        <v>911</v>
      </c>
      <c r="D90" s="776"/>
      <c r="E90" s="777" t="s">
        <v>912</v>
      </c>
      <c r="F90" s="777"/>
      <c r="G90" s="777" t="s">
        <v>913</v>
      </c>
      <c r="H90" s="776"/>
      <c r="I90" s="778" t="s">
        <v>914</v>
      </c>
      <c r="J90" s="776"/>
      <c r="K90" s="779">
        <v>105750</v>
      </c>
      <c r="L90" s="776"/>
      <c r="M90" s="781">
        <v>1005115</v>
      </c>
      <c r="N90" s="776"/>
      <c r="O90" s="782">
        <f>'J-2'!$G$26*365/12</f>
        <v>9.9888333333333339</v>
      </c>
      <c r="P90" s="776"/>
      <c r="Q90" s="783">
        <f t="shared" ref="Q90:Q110" si="26">K90*O90</f>
        <v>1056319.125</v>
      </c>
      <c r="R90" s="776"/>
      <c r="S90" s="784">
        <f>'J-2'!$I$26</f>
        <v>3.0999999999999999E-3</v>
      </c>
      <c r="T90" s="776"/>
      <c r="U90" s="785">
        <f t="shared" ref="U90:U110" si="27">S90*M90</f>
        <v>3115.8564999999999</v>
      </c>
      <c r="V90" s="776"/>
      <c r="W90" s="783">
        <f t="shared" ref="W90:W110" si="28">U90+Q90</f>
        <v>1059434.9815</v>
      </c>
      <c r="Y90" s="786">
        <v>1.4E-3</v>
      </c>
      <c r="AA90" s="787">
        <f t="shared" ref="AA90:AA110" si="29">Y90*M90</f>
        <v>1407.1610000000001</v>
      </c>
      <c r="AC90" s="764" t="s">
        <v>912</v>
      </c>
    </row>
    <row r="91" spans="1:29">
      <c r="A91" s="763">
        <f t="shared" si="21"/>
        <v>72</v>
      </c>
      <c r="C91" s="775" t="s">
        <v>915</v>
      </c>
      <c r="D91" s="776"/>
      <c r="E91" s="777" t="s">
        <v>912</v>
      </c>
      <c r="F91" s="777"/>
      <c r="G91" s="777" t="s">
        <v>913</v>
      </c>
      <c r="H91" s="776"/>
      <c r="I91" s="778" t="s">
        <v>916</v>
      </c>
      <c r="J91" s="776"/>
      <c r="K91" s="779">
        <v>200</v>
      </c>
      <c r="L91" s="776"/>
      <c r="M91" s="781">
        <v>899</v>
      </c>
      <c r="N91" s="776"/>
      <c r="O91" s="782">
        <f>'J-2'!$G$26*365/12</f>
        <v>9.9888333333333339</v>
      </c>
      <c r="P91" s="776"/>
      <c r="Q91" s="783">
        <f t="shared" si="26"/>
        <v>1997.7666666666669</v>
      </c>
      <c r="R91" s="776"/>
      <c r="S91" s="784">
        <f>'J-2'!$I$26</f>
        <v>3.0999999999999999E-3</v>
      </c>
      <c r="T91" s="776"/>
      <c r="U91" s="785">
        <f t="shared" si="27"/>
        <v>2.7868999999999997</v>
      </c>
      <c r="V91" s="776"/>
      <c r="W91" s="783">
        <f t="shared" si="28"/>
        <v>2000.5535666666669</v>
      </c>
      <c r="Y91" s="786">
        <v>1.4E-3</v>
      </c>
      <c r="AA91" s="787">
        <f t="shared" si="29"/>
        <v>1.2585999999999999</v>
      </c>
      <c r="AC91" s="764" t="s">
        <v>912</v>
      </c>
    </row>
    <row r="92" spans="1:29">
      <c r="A92" s="763">
        <f t="shared" si="21"/>
        <v>73</v>
      </c>
      <c r="C92" s="775" t="s">
        <v>917</v>
      </c>
      <c r="D92" s="776"/>
      <c r="E92" s="777" t="s">
        <v>912</v>
      </c>
      <c r="F92" s="777"/>
      <c r="G92" s="777" t="s">
        <v>913</v>
      </c>
      <c r="H92" s="776"/>
      <c r="I92" s="778" t="s">
        <v>918</v>
      </c>
      <c r="J92" s="776"/>
      <c r="K92" s="779">
        <v>1200</v>
      </c>
      <c r="L92" s="776"/>
      <c r="M92" s="781">
        <v>6107</v>
      </c>
      <c r="N92" s="776"/>
      <c r="O92" s="782">
        <f>'J-2'!$G$26*365/12</f>
        <v>9.9888333333333339</v>
      </c>
      <c r="P92" s="776"/>
      <c r="Q92" s="783">
        <f t="shared" si="26"/>
        <v>11986.6</v>
      </c>
      <c r="R92" s="776"/>
      <c r="S92" s="784">
        <f>'J-2'!$I$26</f>
        <v>3.0999999999999999E-3</v>
      </c>
      <c r="T92" s="776"/>
      <c r="U92" s="785">
        <f t="shared" si="27"/>
        <v>18.931699999999999</v>
      </c>
      <c r="V92" s="776"/>
      <c r="W92" s="783">
        <f t="shared" si="28"/>
        <v>12005.5317</v>
      </c>
      <c r="Y92" s="786">
        <v>1.4E-3</v>
      </c>
      <c r="AA92" s="787">
        <f t="shared" si="29"/>
        <v>8.5497999999999994</v>
      </c>
      <c r="AC92" s="764" t="s">
        <v>912</v>
      </c>
    </row>
    <row r="93" spans="1:29">
      <c r="A93" s="763">
        <f t="shared" si="21"/>
        <v>74</v>
      </c>
      <c r="C93" s="775" t="s">
        <v>919</v>
      </c>
      <c r="D93" s="776"/>
      <c r="E93" s="777" t="s">
        <v>912</v>
      </c>
      <c r="F93" s="777"/>
      <c r="G93" s="777" t="s">
        <v>913</v>
      </c>
      <c r="H93" s="776"/>
      <c r="I93" s="778" t="s">
        <v>920</v>
      </c>
      <c r="J93" s="776"/>
      <c r="K93" s="779">
        <v>1550</v>
      </c>
      <c r="L93" s="776"/>
      <c r="M93" s="781">
        <v>0</v>
      </c>
      <c r="N93" s="776"/>
      <c r="O93" s="782">
        <f>'J-2'!$G$26*365/12</f>
        <v>9.9888333333333339</v>
      </c>
      <c r="P93" s="776"/>
      <c r="Q93" s="783">
        <f t="shared" si="26"/>
        <v>15482.691666666668</v>
      </c>
      <c r="R93" s="776"/>
      <c r="S93" s="784">
        <f>'J-2'!$I$26</f>
        <v>3.0999999999999999E-3</v>
      </c>
      <c r="T93" s="776"/>
      <c r="U93" s="785">
        <f t="shared" si="27"/>
        <v>0</v>
      </c>
      <c r="V93" s="776"/>
      <c r="W93" s="783">
        <f t="shared" si="28"/>
        <v>15482.691666666668</v>
      </c>
      <c r="Y93" s="786">
        <v>1.4E-3</v>
      </c>
      <c r="AA93" s="787">
        <f t="shared" si="29"/>
        <v>0</v>
      </c>
      <c r="AC93" s="764" t="s">
        <v>912</v>
      </c>
    </row>
    <row r="94" spans="1:29">
      <c r="A94" s="763">
        <f t="shared" si="21"/>
        <v>75</v>
      </c>
      <c r="C94" s="775" t="s">
        <v>911</v>
      </c>
      <c r="D94" s="776"/>
      <c r="E94" s="777" t="s">
        <v>912</v>
      </c>
      <c r="F94" s="777"/>
      <c r="G94" s="777" t="s">
        <v>913</v>
      </c>
      <c r="H94" s="776"/>
      <c r="I94" s="778" t="s">
        <v>921</v>
      </c>
      <c r="J94" s="776"/>
      <c r="K94" s="779">
        <v>10000</v>
      </c>
      <c r="L94" s="776"/>
      <c r="M94" s="781">
        <v>304730</v>
      </c>
      <c r="N94" s="776"/>
      <c r="O94" s="782">
        <f>'J-2'!$G$26*365/12</f>
        <v>9.9888333333333339</v>
      </c>
      <c r="P94" s="776"/>
      <c r="Q94" s="783">
        <f t="shared" si="26"/>
        <v>99888.333333333343</v>
      </c>
      <c r="R94" s="776"/>
      <c r="S94" s="784">
        <f>'J-2'!$I$26</f>
        <v>3.0999999999999999E-3</v>
      </c>
      <c r="T94" s="776"/>
      <c r="U94" s="785">
        <f t="shared" si="27"/>
        <v>944.66300000000001</v>
      </c>
      <c r="V94" s="776"/>
      <c r="W94" s="783">
        <f t="shared" si="28"/>
        <v>100832.99633333334</v>
      </c>
      <c r="Y94" s="786">
        <v>1.4E-3</v>
      </c>
      <c r="AA94" s="787">
        <f t="shared" si="29"/>
        <v>426.62200000000001</v>
      </c>
      <c r="AC94" s="764" t="s">
        <v>912</v>
      </c>
    </row>
    <row r="95" spans="1:29">
      <c r="A95" s="763">
        <f t="shared" si="21"/>
        <v>76</v>
      </c>
      <c r="C95" s="775" t="s">
        <v>922</v>
      </c>
      <c r="D95" s="776"/>
      <c r="E95" s="777" t="s">
        <v>912</v>
      </c>
      <c r="F95" s="777"/>
      <c r="G95" s="777" t="s">
        <v>913</v>
      </c>
      <c r="H95" s="776"/>
      <c r="I95" s="778" t="s">
        <v>923</v>
      </c>
      <c r="J95" s="776"/>
      <c r="K95" s="779">
        <v>200</v>
      </c>
      <c r="L95" s="776"/>
      <c r="M95" s="781">
        <v>2561</v>
      </c>
      <c r="N95" s="776"/>
      <c r="O95" s="782">
        <f>'J-2'!$G$26*365/12</f>
        <v>9.9888333333333339</v>
      </c>
      <c r="P95" s="776"/>
      <c r="Q95" s="783">
        <f t="shared" si="26"/>
        <v>1997.7666666666669</v>
      </c>
      <c r="R95" s="776"/>
      <c r="S95" s="784">
        <f>'J-2'!$I$26</f>
        <v>3.0999999999999999E-3</v>
      </c>
      <c r="T95" s="776"/>
      <c r="U95" s="785">
        <f t="shared" si="27"/>
        <v>7.9390999999999998</v>
      </c>
      <c r="V95" s="776"/>
      <c r="W95" s="783">
        <f t="shared" si="28"/>
        <v>2005.7057666666669</v>
      </c>
      <c r="Y95" s="786">
        <v>1.4E-3</v>
      </c>
      <c r="AA95" s="787">
        <f t="shared" si="29"/>
        <v>3.5853999999999999</v>
      </c>
      <c r="AC95" s="764" t="s">
        <v>912</v>
      </c>
    </row>
    <row r="96" spans="1:29">
      <c r="A96" s="763">
        <f t="shared" si="21"/>
        <v>77</v>
      </c>
      <c r="C96" s="775" t="s">
        <v>924</v>
      </c>
      <c r="D96" s="776"/>
      <c r="E96" s="777" t="s">
        <v>912</v>
      </c>
      <c r="F96" s="777"/>
      <c r="G96" s="777" t="s">
        <v>913</v>
      </c>
      <c r="H96" s="776"/>
      <c r="I96" s="778" t="s">
        <v>925</v>
      </c>
      <c r="J96" s="776"/>
      <c r="K96" s="779">
        <v>550</v>
      </c>
      <c r="L96" s="776"/>
      <c r="M96" s="781">
        <v>12988</v>
      </c>
      <c r="N96" s="776"/>
      <c r="O96" s="782">
        <f>'J-2'!$G$26*365/12</f>
        <v>9.9888333333333339</v>
      </c>
      <c r="P96" s="776"/>
      <c r="Q96" s="783">
        <f t="shared" si="26"/>
        <v>5493.8583333333336</v>
      </c>
      <c r="R96" s="776"/>
      <c r="S96" s="784">
        <f>'J-2'!$I$26</f>
        <v>3.0999999999999999E-3</v>
      </c>
      <c r="T96" s="776"/>
      <c r="U96" s="785">
        <f t="shared" si="27"/>
        <v>40.262799999999999</v>
      </c>
      <c r="V96" s="776"/>
      <c r="W96" s="783">
        <f t="shared" si="28"/>
        <v>5534.121133333334</v>
      </c>
      <c r="Y96" s="786">
        <v>1.4E-3</v>
      </c>
      <c r="AA96" s="787">
        <f t="shared" si="29"/>
        <v>18.183199999999999</v>
      </c>
      <c r="AC96" s="764" t="s">
        <v>912</v>
      </c>
    </row>
    <row r="97" spans="1:29">
      <c r="A97" s="763">
        <f t="shared" si="21"/>
        <v>78</v>
      </c>
      <c r="C97" s="775" t="s">
        <v>911</v>
      </c>
      <c r="D97" s="776"/>
      <c r="E97" s="777" t="s">
        <v>912</v>
      </c>
      <c r="F97" s="777"/>
      <c r="G97" s="777" t="s">
        <v>913</v>
      </c>
      <c r="H97" s="776"/>
      <c r="I97" s="778" t="s">
        <v>926</v>
      </c>
      <c r="J97" s="776"/>
      <c r="K97" s="779">
        <v>5661</v>
      </c>
      <c r="L97" s="776"/>
      <c r="M97" s="781">
        <v>172515</v>
      </c>
      <c r="N97" s="776"/>
      <c r="O97" s="782">
        <f>'J-2'!$G$26*365/12</f>
        <v>9.9888333333333339</v>
      </c>
      <c r="P97" s="776"/>
      <c r="Q97" s="783">
        <f t="shared" si="26"/>
        <v>56546.785500000005</v>
      </c>
      <c r="R97" s="776"/>
      <c r="S97" s="784">
        <f>'J-2'!$I$26</f>
        <v>3.0999999999999999E-3</v>
      </c>
      <c r="T97" s="776"/>
      <c r="U97" s="785">
        <f t="shared" si="27"/>
        <v>534.79650000000004</v>
      </c>
      <c r="V97" s="776"/>
      <c r="W97" s="783">
        <f t="shared" si="28"/>
        <v>57081.582000000002</v>
      </c>
      <c r="Y97" s="786">
        <v>1.4E-3</v>
      </c>
      <c r="AA97" s="787">
        <f t="shared" si="29"/>
        <v>241.52099999999999</v>
      </c>
      <c r="AC97" s="764" t="s">
        <v>912</v>
      </c>
    </row>
    <row r="98" spans="1:29">
      <c r="A98" s="763">
        <f t="shared" si="21"/>
        <v>79</v>
      </c>
      <c r="C98" s="775" t="s">
        <v>911</v>
      </c>
      <c r="D98" s="776"/>
      <c r="E98" s="777" t="s">
        <v>912</v>
      </c>
      <c r="F98" s="777"/>
      <c r="G98" s="777" t="s">
        <v>913</v>
      </c>
      <c r="H98" s="776"/>
      <c r="I98" s="778" t="s">
        <v>927</v>
      </c>
      <c r="J98" s="776"/>
      <c r="K98" s="779">
        <v>5690</v>
      </c>
      <c r="L98" s="776"/>
      <c r="M98" s="781">
        <v>173383</v>
      </c>
      <c r="N98" s="776"/>
      <c r="O98" s="782">
        <f>'J-2'!$G$26*365/12</f>
        <v>9.9888333333333339</v>
      </c>
      <c r="P98" s="776"/>
      <c r="Q98" s="783">
        <f t="shared" si="26"/>
        <v>56836.46166666667</v>
      </c>
      <c r="R98" s="776"/>
      <c r="S98" s="784">
        <f>'J-2'!$I$26</f>
        <v>3.0999999999999999E-3</v>
      </c>
      <c r="T98" s="776"/>
      <c r="U98" s="785">
        <f t="shared" si="27"/>
        <v>537.4873</v>
      </c>
      <c r="V98" s="776"/>
      <c r="W98" s="783">
        <f t="shared" si="28"/>
        <v>57373.94896666667</v>
      </c>
      <c r="Y98" s="786">
        <v>1.4E-3</v>
      </c>
      <c r="AA98" s="787">
        <f t="shared" si="29"/>
        <v>242.7362</v>
      </c>
      <c r="AC98" s="764" t="s">
        <v>912</v>
      </c>
    </row>
    <row r="99" spans="1:29">
      <c r="A99" s="763">
        <f t="shared" si="21"/>
        <v>80</v>
      </c>
      <c r="C99" s="775" t="s">
        <v>928</v>
      </c>
      <c r="D99" s="776"/>
      <c r="E99" s="777" t="s">
        <v>912</v>
      </c>
      <c r="F99" s="777"/>
      <c r="G99" s="777" t="s">
        <v>913</v>
      </c>
      <c r="H99" s="776"/>
      <c r="I99" s="778" t="s">
        <v>929</v>
      </c>
      <c r="J99" s="776"/>
      <c r="K99" s="779">
        <v>8000</v>
      </c>
      <c r="L99" s="776"/>
      <c r="M99" s="781">
        <v>228560</v>
      </c>
      <c r="N99" s="776"/>
      <c r="O99" s="782">
        <f>'J-2'!$G$26*365/12</f>
        <v>9.9888333333333339</v>
      </c>
      <c r="P99" s="776"/>
      <c r="Q99" s="783">
        <f t="shared" si="26"/>
        <v>79910.666666666672</v>
      </c>
      <c r="R99" s="776"/>
      <c r="S99" s="784">
        <f>'J-2'!$I$26</f>
        <v>3.0999999999999999E-3</v>
      </c>
      <c r="T99" s="776"/>
      <c r="U99" s="785">
        <f t="shared" si="27"/>
        <v>708.53599999999994</v>
      </c>
      <c r="V99" s="776"/>
      <c r="W99" s="783">
        <f t="shared" si="28"/>
        <v>80619.202666666664</v>
      </c>
      <c r="Y99" s="786">
        <v>1.4E-3</v>
      </c>
      <c r="AA99" s="787">
        <f t="shared" si="29"/>
        <v>319.98399999999998</v>
      </c>
      <c r="AC99" s="764" t="s">
        <v>912</v>
      </c>
    </row>
    <row r="100" spans="1:29">
      <c r="A100" s="763">
        <f t="shared" si="21"/>
        <v>81</v>
      </c>
      <c r="C100" s="775" t="s">
        <v>928</v>
      </c>
      <c r="D100" s="776"/>
      <c r="E100" s="777" t="s">
        <v>912</v>
      </c>
      <c r="F100" s="777"/>
      <c r="G100" s="777" t="s">
        <v>913</v>
      </c>
      <c r="H100" s="776"/>
      <c r="I100" s="778" t="s">
        <v>930</v>
      </c>
      <c r="J100" s="776"/>
      <c r="K100" s="779">
        <v>16500</v>
      </c>
      <c r="L100" s="776"/>
      <c r="M100" s="781">
        <v>76198</v>
      </c>
      <c r="N100" s="776"/>
      <c r="O100" s="782">
        <f>'J-2'!$G$26*365/12</f>
        <v>9.9888333333333339</v>
      </c>
      <c r="P100" s="776"/>
      <c r="Q100" s="783">
        <f t="shared" si="26"/>
        <v>164815.75</v>
      </c>
      <c r="R100" s="776"/>
      <c r="S100" s="784">
        <f>'J-2'!$I$26</f>
        <v>3.0999999999999999E-3</v>
      </c>
      <c r="T100" s="776"/>
      <c r="U100" s="785">
        <f t="shared" si="27"/>
        <v>236.21379999999999</v>
      </c>
      <c r="V100" s="776"/>
      <c r="W100" s="783">
        <f t="shared" si="28"/>
        <v>165051.9638</v>
      </c>
      <c r="Y100" s="786">
        <v>1.4E-3</v>
      </c>
      <c r="AA100" s="787">
        <f t="shared" si="29"/>
        <v>106.6772</v>
      </c>
      <c r="AC100" s="764" t="s">
        <v>912</v>
      </c>
    </row>
    <row r="101" spans="1:29">
      <c r="A101" s="763">
        <f t="shared" si="21"/>
        <v>82</v>
      </c>
      <c r="C101" s="775" t="s">
        <v>928</v>
      </c>
      <c r="D101" s="776"/>
      <c r="E101" s="777" t="s">
        <v>912</v>
      </c>
      <c r="F101" s="777"/>
      <c r="G101" s="777" t="s">
        <v>913</v>
      </c>
      <c r="H101" s="776"/>
      <c r="I101" s="778" t="s">
        <v>1021</v>
      </c>
      <c r="J101" s="776"/>
      <c r="K101" s="779">
        <v>5951</v>
      </c>
      <c r="L101" s="780"/>
      <c r="M101" s="789">
        <f>K101*365/12*'G-1 '!$M$504</f>
        <v>0</v>
      </c>
      <c r="N101" s="776"/>
      <c r="O101" s="782">
        <f>'J-2'!$G$26*365/12</f>
        <v>9.9888333333333339</v>
      </c>
      <c r="P101" s="776"/>
      <c r="Q101" s="783">
        <f t="shared" si="26"/>
        <v>59443.547166666671</v>
      </c>
      <c r="R101" s="776"/>
      <c r="S101" s="784">
        <f>'J-2'!$I$26</f>
        <v>3.0999999999999999E-3</v>
      </c>
      <c r="T101" s="776"/>
      <c r="U101" s="785">
        <f t="shared" si="27"/>
        <v>0</v>
      </c>
      <c r="V101" s="776"/>
      <c r="W101" s="783">
        <f t="shared" si="28"/>
        <v>59443.547166666671</v>
      </c>
      <c r="Y101" s="786">
        <v>1.4E-3</v>
      </c>
      <c r="AA101" s="787">
        <f t="shared" si="29"/>
        <v>0</v>
      </c>
      <c r="AC101" s="764" t="s">
        <v>912</v>
      </c>
    </row>
    <row r="102" spans="1:29">
      <c r="A102" s="763">
        <f t="shared" si="21"/>
        <v>83</v>
      </c>
      <c r="C102" s="775" t="s">
        <v>911</v>
      </c>
      <c r="D102" s="776"/>
      <c r="E102" s="777" t="s">
        <v>912</v>
      </c>
      <c r="F102" s="777"/>
      <c r="G102" s="777" t="s">
        <v>913</v>
      </c>
      <c r="H102" s="776"/>
      <c r="I102" s="778" t="s">
        <v>931</v>
      </c>
      <c r="J102" s="776"/>
      <c r="K102" s="779">
        <v>5722</v>
      </c>
      <c r="L102" s="776"/>
      <c r="M102" s="781">
        <v>174375</v>
      </c>
      <c r="N102" s="776"/>
      <c r="O102" s="782">
        <f>'J-2'!$G$26*365/12</f>
        <v>9.9888333333333339</v>
      </c>
      <c r="P102" s="776"/>
      <c r="Q102" s="783">
        <f t="shared" si="26"/>
        <v>57156.104333333336</v>
      </c>
      <c r="R102" s="776"/>
      <c r="S102" s="784">
        <f>'J-2'!$I$26</f>
        <v>3.0999999999999999E-3</v>
      </c>
      <c r="T102" s="776"/>
      <c r="U102" s="785">
        <f t="shared" si="27"/>
        <v>540.5625</v>
      </c>
      <c r="V102" s="776"/>
      <c r="W102" s="783">
        <f t="shared" si="28"/>
        <v>57696.666833333336</v>
      </c>
      <c r="Y102" s="786">
        <v>1.4E-3</v>
      </c>
      <c r="AA102" s="787">
        <f t="shared" si="29"/>
        <v>244.125</v>
      </c>
      <c r="AC102" s="764" t="s">
        <v>912</v>
      </c>
    </row>
    <row r="103" spans="1:29">
      <c r="A103" s="763">
        <f t="shared" si="21"/>
        <v>84</v>
      </c>
      <c r="C103" s="775" t="s">
        <v>932</v>
      </c>
      <c r="D103" s="776"/>
      <c r="E103" s="777" t="s">
        <v>912</v>
      </c>
      <c r="F103" s="777"/>
      <c r="G103" s="777" t="s">
        <v>913</v>
      </c>
      <c r="H103" s="776"/>
      <c r="I103" s="778" t="s">
        <v>933</v>
      </c>
      <c r="J103" s="776"/>
      <c r="K103" s="779">
        <v>760</v>
      </c>
      <c r="L103" s="776"/>
      <c r="M103" s="781">
        <v>23063</v>
      </c>
      <c r="N103" s="776"/>
      <c r="O103" s="782">
        <f>'J-2'!$G$26*365/12</f>
        <v>9.9888333333333339</v>
      </c>
      <c r="P103" s="776"/>
      <c r="Q103" s="783">
        <f t="shared" si="26"/>
        <v>7591.5133333333333</v>
      </c>
      <c r="R103" s="776"/>
      <c r="S103" s="784">
        <f>'J-2'!$I$26</f>
        <v>3.0999999999999999E-3</v>
      </c>
      <c r="T103" s="776"/>
      <c r="U103" s="785">
        <f t="shared" si="27"/>
        <v>71.4953</v>
      </c>
      <c r="V103" s="776"/>
      <c r="W103" s="783">
        <f t="shared" si="28"/>
        <v>7663.0086333333329</v>
      </c>
      <c r="Y103" s="786">
        <v>1.4E-3</v>
      </c>
      <c r="AA103" s="787">
        <f t="shared" si="29"/>
        <v>32.288199999999996</v>
      </c>
      <c r="AC103" s="764" t="s">
        <v>912</v>
      </c>
    </row>
    <row r="104" spans="1:29">
      <c r="A104" s="763">
        <f t="shared" si="21"/>
        <v>85</v>
      </c>
      <c r="C104" s="775" t="s">
        <v>922</v>
      </c>
      <c r="D104" s="776"/>
      <c r="E104" s="777" t="s">
        <v>912</v>
      </c>
      <c r="F104" s="777"/>
      <c r="G104" s="777" t="s">
        <v>913</v>
      </c>
      <c r="H104" s="776"/>
      <c r="I104" s="778" t="s">
        <v>934</v>
      </c>
      <c r="J104" s="776"/>
      <c r="K104" s="779">
        <v>150</v>
      </c>
      <c r="L104" s="776"/>
      <c r="M104" s="781">
        <v>1911</v>
      </c>
      <c r="N104" s="776"/>
      <c r="O104" s="782">
        <f>'J-2'!$G$26*365/12</f>
        <v>9.9888333333333339</v>
      </c>
      <c r="P104" s="776"/>
      <c r="Q104" s="783">
        <f t="shared" si="26"/>
        <v>1498.325</v>
      </c>
      <c r="R104" s="776"/>
      <c r="S104" s="784">
        <f>'J-2'!$I$26</f>
        <v>3.0999999999999999E-3</v>
      </c>
      <c r="T104" s="776"/>
      <c r="U104" s="785">
        <f t="shared" si="27"/>
        <v>5.9241000000000001</v>
      </c>
      <c r="V104" s="776"/>
      <c r="W104" s="783">
        <f t="shared" si="28"/>
        <v>1504.2491</v>
      </c>
      <c r="Y104" s="786">
        <v>1.4E-3</v>
      </c>
      <c r="AA104" s="787">
        <f t="shared" si="29"/>
        <v>2.6753999999999998</v>
      </c>
      <c r="AC104" s="764" t="s">
        <v>912</v>
      </c>
    </row>
    <row r="105" spans="1:29">
      <c r="A105" s="763">
        <f t="shared" si="21"/>
        <v>86</v>
      </c>
      <c r="C105" s="775" t="s">
        <v>922</v>
      </c>
      <c r="D105" s="776"/>
      <c r="E105" s="777" t="s">
        <v>912</v>
      </c>
      <c r="F105" s="777"/>
      <c r="G105" s="777" t="s">
        <v>913</v>
      </c>
      <c r="H105" s="776"/>
      <c r="I105" s="778" t="s">
        <v>935</v>
      </c>
      <c r="J105" s="776"/>
      <c r="K105" s="779">
        <v>250</v>
      </c>
      <c r="L105" s="776"/>
      <c r="M105" s="781">
        <v>5124</v>
      </c>
      <c r="N105" s="776"/>
      <c r="O105" s="782">
        <f>'J-2'!$G$26*365/12</f>
        <v>9.9888333333333339</v>
      </c>
      <c r="P105" s="776"/>
      <c r="Q105" s="783">
        <f t="shared" si="26"/>
        <v>2497.2083333333335</v>
      </c>
      <c r="R105" s="776"/>
      <c r="S105" s="784">
        <f>'J-2'!$I$26</f>
        <v>3.0999999999999999E-3</v>
      </c>
      <c r="T105" s="776"/>
      <c r="U105" s="785">
        <f t="shared" si="27"/>
        <v>15.884399999999999</v>
      </c>
      <c r="V105" s="776"/>
      <c r="W105" s="783">
        <f t="shared" si="28"/>
        <v>2513.0927333333334</v>
      </c>
      <c r="Y105" s="786">
        <v>1.4E-3</v>
      </c>
      <c r="AA105" s="787">
        <f t="shared" si="29"/>
        <v>7.1735999999999995</v>
      </c>
      <c r="AC105" s="764" t="s">
        <v>912</v>
      </c>
    </row>
    <row r="106" spans="1:29">
      <c r="A106" s="763">
        <f t="shared" si="21"/>
        <v>87</v>
      </c>
      <c r="C106" s="775" t="s">
        <v>922</v>
      </c>
      <c r="D106" s="776"/>
      <c r="E106" s="777" t="s">
        <v>912</v>
      </c>
      <c r="F106" s="777"/>
      <c r="G106" s="777" t="s">
        <v>913</v>
      </c>
      <c r="H106" s="776"/>
      <c r="I106" s="778" t="s">
        <v>936</v>
      </c>
      <c r="J106" s="776"/>
      <c r="K106" s="779">
        <v>400</v>
      </c>
      <c r="L106" s="776"/>
      <c r="M106" s="781">
        <v>12183</v>
      </c>
      <c r="N106" s="776"/>
      <c r="O106" s="782">
        <f>'J-2'!$G$26*365/12</f>
        <v>9.9888333333333339</v>
      </c>
      <c r="P106" s="776"/>
      <c r="Q106" s="783">
        <f t="shared" si="26"/>
        <v>3995.5333333333338</v>
      </c>
      <c r="R106" s="776"/>
      <c r="S106" s="784">
        <f>'J-2'!$I$26</f>
        <v>3.0999999999999999E-3</v>
      </c>
      <c r="T106" s="776"/>
      <c r="U106" s="785">
        <f t="shared" si="27"/>
        <v>37.767299999999999</v>
      </c>
      <c r="V106" s="776"/>
      <c r="W106" s="783">
        <f t="shared" si="28"/>
        <v>4033.3006333333337</v>
      </c>
      <c r="Y106" s="786">
        <v>1.4E-3</v>
      </c>
      <c r="AA106" s="787">
        <f t="shared" si="29"/>
        <v>17.0562</v>
      </c>
      <c r="AC106" s="764" t="s">
        <v>912</v>
      </c>
    </row>
    <row r="107" spans="1:29">
      <c r="A107" s="763">
        <f t="shared" si="21"/>
        <v>88</v>
      </c>
      <c r="C107" s="775" t="s">
        <v>911</v>
      </c>
      <c r="D107" s="776"/>
      <c r="E107" s="777" t="s">
        <v>912</v>
      </c>
      <c r="F107" s="777"/>
      <c r="G107" s="777" t="s">
        <v>913</v>
      </c>
      <c r="H107" s="776"/>
      <c r="I107" s="778" t="s">
        <v>937</v>
      </c>
      <c r="J107" s="776"/>
      <c r="K107" s="779">
        <v>40000</v>
      </c>
      <c r="L107" s="776"/>
      <c r="M107" s="781">
        <v>1214920</v>
      </c>
      <c r="N107" s="776"/>
      <c r="O107" s="782">
        <f>'J-2'!$G$26*365/12</f>
        <v>9.9888333333333339</v>
      </c>
      <c r="P107" s="776"/>
      <c r="Q107" s="783">
        <f t="shared" si="26"/>
        <v>399553.33333333337</v>
      </c>
      <c r="R107" s="776"/>
      <c r="S107" s="784">
        <f>'J-2'!$I$26</f>
        <v>3.0999999999999999E-3</v>
      </c>
      <c r="T107" s="776"/>
      <c r="U107" s="785">
        <f t="shared" si="27"/>
        <v>3766.252</v>
      </c>
      <c r="V107" s="776"/>
      <c r="W107" s="783">
        <f t="shared" si="28"/>
        <v>403319.58533333335</v>
      </c>
      <c r="Y107" s="786">
        <v>1.4E-3</v>
      </c>
      <c r="AA107" s="787">
        <f t="shared" si="29"/>
        <v>1700.8879999999999</v>
      </c>
      <c r="AC107" s="764" t="s">
        <v>912</v>
      </c>
    </row>
    <row r="108" spans="1:29">
      <c r="A108" s="763">
        <f t="shared" si="21"/>
        <v>89</v>
      </c>
      <c r="C108" s="775" t="s">
        <v>938</v>
      </c>
      <c r="D108" s="776"/>
      <c r="E108" s="777" t="s">
        <v>912</v>
      </c>
      <c r="F108" s="777"/>
      <c r="G108" s="777" t="s">
        <v>913</v>
      </c>
      <c r="H108" s="776"/>
      <c r="I108" s="778" t="s">
        <v>939</v>
      </c>
      <c r="J108" s="776"/>
      <c r="K108" s="779">
        <v>800</v>
      </c>
      <c r="L108" s="776"/>
      <c r="M108" s="781">
        <v>24063</v>
      </c>
      <c r="N108" s="776"/>
      <c r="O108" s="782">
        <f>'J-2'!$G$26*365/12</f>
        <v>9.9888333333333339</v>
      </c>
      <c r="P108" s="776"/>
      <c r="Q108" s="783">
        <f t="shared" si="26"/>
        <v>7991.0666666666675</v>
      </c>
      <c r="R108" s="776"/>
      <c r="S108" s="784">
        <f>'J-2'!$I$26</f>
        <v>3.0999999999999999E-3</v>
      </c>
      <c r="T108" s="776"/>
      <c r="U108" s="785">
        <f t="shared" si="27"/>
        <v>74.595299999999995</v>
      </c>
      <c r="V108" s="776"/>
      <c r="W108" s="783">
        <f t="shared" si="28"/>
        <v>8065.6619666666675</v>
      </c>
      <c r="Y108" s="786">
        <v>1.4E-3</v>
      </c>
      <c r="AA108" s="787">
        <f t="shared" si="29"/>
        <v>33.688200000000002</v>
      </c>
      <c r="AC108" s="764" t="s">
        <v>912</v>
      </c>
    </row>
    <row r="109" spans="1:29">
      <c r="A109" s="763">
        <f t="shared" si="21"/>
        <v>90</v>
      </c>
      <c r="C109" s="775" t="s">
        <v>938</v>
      </c>
      <c r="D109" s="776"/>
      <c r="E109" s="777" t="s">
        <v>912</v>
      </c>
      <c r="F109" s="777"/>
      <c r="G109" s="777" t="s">
        <v>913</v>
      </c>
      <c r="H109" s="776"/>
      <c r="I109" s="778" t="s">
        <v>940</v>
      </c>
      <c r="J109" s="776"/>
      <c r="K109" s="779">
        <v>200</v>
      </c>
      <c r="L109" s="776"/>
      <c r="M109" s="781">
        <v>6106</v>
      </c>
      <c r="N109" s="776"/>
      <c r="O109" s="782">
        <f>'J-2'!$G$26*365/12</f>
        <v>9.9888333333333339</v>
      </c>
      <c r="P109" s="776"/>
      <c r="Q109" s="783">
        <f t="shared" si="26"/>
        <v>1997.7666666666669</v>
      </c>
      <c r="R109" s="776"/>
      <c r="S109" s="784">
        <f>'J-2'!$I$26</f>
        <v>3.0999999999999999E-3</v>
      </c>
      <c r="T109" s="776"/>
      <c r="U109" s="785">
        <f t="shared" si="27"/>
        <v>18.928599999999999</v>
      </c>
      <c r="V109" s="776"/>
      <c r="W109" s="783">
        <f t="shared" si="28"/>
        <v>2016.6952666666668</v>
      </c>
      <c r="Y109" s="786">
        <v>1.4E-3</v>
      </c>
      <c r="AA109" s="787">
        <f t="shared" si="29"/>
        <v>8.5483999999999991</v>
      </c>
      <c r="AC109" s="764" t="s">
        <v>912</v>
      </c>
    </row>
    <row r="110" spans="1:29">
      <c r="A110" s="763">
        <f t="shared" si="21"/>
        <v>91</v>
      </c>
      <c r="C110" s="775" t="s">
        <v>938</v>
      </c>
      <c r="D110" s="776"/>
      <c r="E110" s="777" t="s">
        <v>912</v>
      </c>
      <c r="F110" s="777"/>
      <c r="G110" s="777" t="s">
        <v>913</v>
      </c>
      <c r="H110" s="776"/>
      <c r="I110" s="778" t="s">
        <v>941</v>
      </c>
      <c r="J110" s="776"/>
      <c r="K110" s="779">
        <v>400</v>
      </c>
      <c r="L110" s="776"/>
      <c r="M110" s="781">
        <v>12183</v>
      </c>
      <c r="N110" s="776"/>
      <c r="O110" s="782">
        <f>'J-2'!$G$26*365/12</f>
        <v>9.9888333333333339</v>
      </c>
      <c r="P110" s="776"/>
      <c r="Q110" s="783">
        <f t="shared" si="26"/>
        <v>3995.5333333333338</v>
      </c>
      <c r="R110" s="776"/>
      <c r="S110" s="784">
        <f>'J-2'!$I$26</f>
        <v>3.0999999999999999E-3</v>
      </c>
      <c r="T110" s="776"/>
      <c r="U110" s="785">
        <f t="shared" si="27"/>
        <v>37.767299999999999</v>
      </c>
      <c r="V110" s="776"/>
      <c r="W110" s="783">
        <f t="shared" si="28"/>
        <v>4033.3006333333337</v>
      </c>
      <c r="Y110" s="786">
        <v>1.4E-3</v>
      </c>
      <c r="AA110" s="787">
        <f t="shared" si="29"/>
        <v>17.0562</v>
      </c>
      <c r="AC110" s="764" t="s">
        <v>912</v>
      </c>
    </row>
    <row r="111" spans="1:29">
      <c r="A111" s="763">
        <f t="shared" si="21"/>
        <v>92</v>
      </c>
      <c r="C111" s="790" t="s">
        <v>960</v>
      </c>
      <c r="D111" s="776"/>
      <c r="E111" s="777"/>
      <c r="F111" s="777"/>
      <c r="G111" s="777"/>
      <c r="H111" s="776"/>
      <c r="I111" s="777"/>
      <c r="J111" s="776"/>
      <c r="K111" s="791">
        <f>SUM(K90:K110)</f>
        <v>209934</v>
      </c>
      <c r="L111" s="776"/>
      <c r="M111" s="792">
        <f>SUM(M90:M110)</f>
        <v>3456984</v>
      </c>
      <c r="N111" s="776"/>
      <c r="O111" s="776"/>
      <c r="P111" s="776"/>
      <c r="Q111" s="799">
        <f>SUM(Q90:Q110)</f>
        <v>2096995.7370000002</v>
      </c>
      <c r="R111" s="776"/>
      <c r="S111" s="776"/>
      <c r="T111" s="776"/>
      <c r="U111" s="799">
        <f>SUM(U90:U110)</f>
        <v>10716.6504</v>
      </c>
      <c r="V111" s="776"/>
      <c r="W111" s="799">
        <f>SUM(W90:W110)</f>
        <v>2107712.3873999999</v>
      </c>
      <c r="AA111" s="793">
        <f>SUM(AA90:AA110)</f>
        <v>4839.7775999999994</v>
      </c>
    </row>
    <row r="112" spans="1:29">
      <c r="A112" s="763" t="str">
        <f t="shared" si="21"/>
        <v/>
      </c>
      <c r="C112" s="790" t="s">
        <v>961</v>
      </c>
      <c r="D112" s="776"/>
      <c r="E112" s="777"/>
      <c r="F112" s="777"/>
      <c r="G112" s="777"/>
      <c r="H112" s="776"/>
      <c r="I112" s="777"/>
      <c r="J112" s="776"/>
      <c r="K112" s="794"/>
      <c r="L112" s="776"/>
      <c r="M112" s="780"/>
      <c r="N112" s="776"/>
      <c r="O112" s="776"/>
      <c r="P112" s="776"/>
      <c r="Q112" s="776"/>
      <c r="R112" s="776"/>
      <c r="S112" s="776"/>
      <c r="T112" s="776"/>
      <c r="U112" s="776"/>
      <c r="V112" s="776"/>
      <c r="W112" s="776"/>
    </row>
    <row r="113" spans="1:32">
      <c r="A113" s="763">
        <v>93</v>
      </c>
      <c r="C113" s="775" t="s">
        <v>932</v>
      </c>
      <c r="D113" s="776"/>
      <c r="E113" s="777" t="s">
        <v>912</v>
      </c>
      <c r="F113" s="777"/>
      <c r="G113" s="777" t="s">
        <v>970</v>
      </c>
      <c r="H113" s="776"/>
      <c r="I113" s="778" t="s">
        <v>965</v>
      </c>
      <c r="J113" s="776"/>
      <c r="K113" s="779">
        <v>0</v>
      </c>
      <c r="L113" s="776"/>
      <c r="M113" s="781">
        <v>4557</v>
      </c>
      <c r="N113" s="776"/>
      <c r="O113" s="782">
        <f>'J-2'!$G$26*365/12</f>
        <v>9.9888333333333339</v>
      </c>
      <c r="P113" s="776"/>
      <c r="Q113" s="783">
        <f t="shared" ref="Q113:Q120" si="30">K113*O113</f>
        <v>0</v>
      </c>
      <c r="R113" s="776"/>
      <c r="S113" s="784">
        <f>'J-2'!$I$26</f>
        <v>3.0999999999999999E-3</v>
      </c>
      <c r="T113" s="776"/>
      <c r="U113" s="785">
        <f t="shared" ref="U113:U120" si="31">S113*M113</f>
        <v>14.1267</v>
      </c>
      <c r="V113" s="776"/>
      <c r="W113" s="783">
        <f t="shared" ref="W113:W120" si="32">U113+Q113</f>
        <v>14.1267</v>
      </c>
      <c r="Y113" s="786">
        <v>1.4E-3</v>
      </c>
      <c r="AA113" s="787">
        <f t="shared" ref="AA113:AA120" si="33">Y113*M113</f>
        <v>6.3798000000000004</v>
      </c>
      <c r="AC113" s="764" t="s">
        <v>912</v>
      </c>
    </row>
    <row r="114" spans="1:32">
      <c r="A114" s="763">
        <f t="shared" si="21"/>
        <v>94</v>
      </c>
      <c r="C114" s="775" t="s">
        <v>966</v>
      </c>
      <c r="D114" s="776"/>
      <c r="E114" s="777" t="s">
        <v>912</v>
      </c>
      <c r="F114" s="777"/>
      <c r="G114" s="777" t="s">
        <v>970</v>
      </c>
      <c r="H114" s="776"/>
      <c r="I114" s="778" t="s">
        <v>968</v>
      </c>
      <c r="J114" s="776"/>
      <c r="K114" s="779">
        <v>0</v>
      </c>
      <c r="L114" s="776"/>
      <c r="M114" s="781">
        <v>6860</v>
      </c>
      <c r="N114" s="776"/>
      <c r="O114" s="782">
        <f>'J-2'!$G$26*365/12</f>
        <v>9.9888333333333339</v>
      </c>
      <c r="P114" s="776"/>
      <c r="Q114" s="783">
        <f t="shared" si="30"/>
        <v>0</v>
      </c>
      <c r="R114" s="776"/>
      <c r="S114" s="784">
        <f>'J-2'!$I$26</f>
        <v>3.0999999999999999E-3</v>
      </c>
      <c r="T114" s="776"/>
      <c r="U114" s="785">
        <f t="shared" si="31"/>
        <v>21.265999999999998</v>
      </c>
      <c r="V114" s="776"/>
      <c r="W114" s="783">
        <f t="shared" si="32"/>
        <v>21.265999999999998</v>
      </c>
      <c r="Y114" s="786">
        <v>1.4E-3</v>
      </c>
      <c r="AA114" s="787">
        <f t="shared" si="33"/>
        <v>9.6039999999999992</v>
      </c>
      <c r="AC114" s="764" t="s">
        <v>912</v>
      </c>
    </row>
    <row r="115" spans="1:32">
      <c r="A115" s="763">
        <f t="shared" si="21"/>
        <v>95</v>
      </c>
      <c r="C115" s="775" t="s">
        <v>966</v>
      </c>
      <c r="D115" s="776"/>
      <c r="E115" s="777" t="s">
        <v>912</v>
      </c>
      <c r="F115" s="777"/>
      <c r="G115" s="777" t="s">
        <v>970</v>
      </c>
      <c r="H115" s="776"/>
      <c r="I115" s="778" t="s">
        <v>967</v>
      </c>
      <c r="J115" s="776"/>
      <c r="K115" s="779">
        <v>0</v>
      </c>
      <c r="L115" s="776"/>
      <c r="M115" s="781">
        <v>180016</v>
      </c>
      <c r="N115" s="776"/>
      <c r="O115" s="782">
        <f>'J-2'!$G$26*365/12</f>
        <v>9.9888333333333339</v>
      </c>
      <c r="P115" s="776"/>
      <c r="Q115" s="783">
        <f t="shared" si="30"/>
        <v>0</v>
      </c>
      <c r="R115" s="776"/>
      <c r="S115" s="784">
        <f>'J-2'!$I$26</f>
        <v>3.0999999999999999E-3</v>
      </c>
      <c r="T115" s="776"/>
      <c r="U115" s="785">
        <f t="shared" si="31"/>
        <v>558.04959999999994</v>
      </c>
      <c r="V115" s="776"/>
      <c r="W115" s="783">
        <f t="shared" si="32"/>
        <v>558.04959999999994</v>
      </c>
      <c r="Y115" s="786">
        <v>1.4E-3</v>
      </c>
      <c r="AA115" s="787">
        <f t="shared" si="33"/>
        <v>252.0224</v>
      </c>
      <c r="AC115" s="764" t="s">
        <v>912</v>
      </c>
    </row>
    <row r="116" spans="1:32">
      <c r="A116" s="763">
        <f t="shared" si="21"/>
        <v>96</v>
      </c>
      <c r="C116" s="775" t="s">
        <v>958</v>
      </c>
      <c r="D116" s="776"/>
      <c r="E116" s="777" t="s">
        <v>912</v>
      </c>
      <c r="F116" s="777"/>
      <c r="G116" s="777" t="s">
        <v>970</v>
      </c>
      <c r="H116" s="776"/>
      <c r="I116" s="778" t="s">
        <v>964</v>
      </c>
      <c r="J116" s="776"/>
      <c r="K116" s="779">
        <v>0</v>
      </c>
      <c r="L116" s="776"/>
      <c r="M116" s="781">
        <v>8860</v>
      </c>
      <c r="N116" s="776"/>
      <c r="O116" s="782">
        <f>'J-2'!$G$26*365/12</f>
        <v>9.9888333333333339</v>
      </c>
      <c r="P116" s="776"/>
      <c r="Q116" s="783">
        <f t="shared" si="30"/>
        <v>0</v>
      </c>
      <c r="R116" s="776"/>
      <c r="S116" s="784">
        <f>'J-2'!$I$26</f>
        <v>3.0999999999999999E-3</v>
      </c>
      <c r="T116" s="776"/>
      <c r="U116" s="785">
        <f t="shared" si="31"/>
        <v>27.465999999999998</v>
      </c>
      <c r="V116" s="776"/>
      <c r="W116" s="783">
        <f t="shared" si="32"/>
        <v>27.465999999999998</v>
      </c>
      <c r="Y116" s="786">
        <v>1.4E-3</v>
      </c>
      <c r="AA116" s="787">
        <f t="shared" si="33"/>
        <v>12.404</v>
      </c>
      <c r="AC116" s="764" t="s">
        <v>912</v>
      </c>
    </row>
    <row r="117" spans="1:32">
      <c r="A117" s="763">
        <f t="shared" si="21"/>
        <v>97</v>
      </c>
      <c r="C117" s="775" t="s">
        <v>948</v>
      </c>
      <c r="D117" s="776"/>
      <c r="E117" s="777" t="s">
        <v>912</v>
      </c>
      <c r="F117" s="777"/>
      <c r="G117" s="777" t="s">
        <v>970</v>
      </c>
      <c r="H117" s="776"/>
      <c r="I117" s="778" t="s">
        <v>963</v>
      </c>
      <c r="J117" s="776"/>
      <c r="K117" s="779">
        <v>0</v>
      </c>
      <c r="L117" s="776"/>
      <c r="M117" s="781">
        <v>6107</v>
      </c>
      <c r="N117" s="776"/>
      <c r="O117" s="782">
        <f>'J-2'!$G$26*365/12</f>
        <v>9.9888333333333339</v>
      </c>
      <c r="P117" s="776"/>
      <c r="Q117" s="783">
        <f t="shared" si="30"/>
        <v>0</v>
      </c>
      <c r="R117" s="776"/>
      <c r="S117" s="784">
        <f>'J-2'!$I$26</f>
        <v>3.0999999999999999E-3</v>
      </c>
      <c r="T117" s="776"/>
      <c r="U117" s="785">
        <f t="shared" si="31"/>
        <v>18.931699999999999</v>
      </c>
      <c r="V117" s="776"/>
      <c r="W117" s="783">
        <f t="shared" si="32"/>
        <v>18.931699999999999</v>
      </c>
      <c r="Y117" s="786">
        <v>1.4E-3</v>
      </c>
      <c r="AA117" s="787">
        <f t="shared" si="33"/>
        <v>8.5497999999999994</v>
      </c>
      <c r="AC117" s="764" t="s">
        <v>912</v>
      </c>
    </row>
    <row r="118" spans="1:32">
      <c r="A118" s="763">
        <f t="shared" si="21"/>
        <v>98</v>
      </c>
      <c r="C118" s="775" t="s">
        <v>972</v>
      </c>
      <c r="D118" s="776"/>
      <c r="E118" s="777" t="s">
        <v>912</v>
      </c>
      <c r="F118" s="777"/>
      <c r="G118" s="777" t="s">
        <v>962</v>
      </c>
      <c r="H118" s="776"/>
      <c r="I118" s="778" t="s">
        <v>973</v>
      </c>
      <c r="J118" s="776"/>
      <c r="K118" s="779">
        <v>150</v>
      </c>
      <c r="L118" s="776"/>
      <c r="M118" s="781">
        <v>0</v>
      </c>
      <c r="N118" s="776"/>
      <c r="O118" s="782">
        <f>'J-2'!$G$26*365/12</f>
        <v>9.9888333333333339</v>
      </c>
      <c r="P118" s="776"/>
      <c r="Q118" s="783">
        <f t="shared" si="30"/>
        <v>1498.325</v>
      </c>
      <c r="R118" s="776"/>
      <c r="S118" s="784">
        <f>'J-2'!$I$26</f>
        <v>3.0999999999999999E-3</v>
      </c>
      <c r="T118" s="776"/>
      <c r="U118" s="785">
        <f t="shared" si="31"/>
        <v>0</v>
      </c>
      <c r="V118" s="776"/>
      <c r="W118" s="783">
        <f t="shared" si="32"/>
        <v>1498.325</v>
      </c>
      <c r="Y118" s="786">
        <v>1.4E-3</v>
      </c>
      <c r="AA118" s="787">
        <f t="shared" si="33"/>
        <v>0</v>
      </c>
      <c r="AC118" s="764" t="s">
        <v>912</v>
      </c>
      <c r="AF118" s="797"/>
    </row>
    <row r="119" spans="1:32">
      <c r="A119" s="763">
        <f t="shared" si="21"/>
        <v>99</v>
      </c>
      <c r="C119" s="775" t="s">
        <v>974</v>
      </c>
      <c r="D119" s="776"/>
      <c r="E119" s="777" t="s">
        <v>912</v>
      </c>
      <c r="F119" s="777"/>
      <c r="G119" s="777" t="s">
        <v>962</v>
      </c>
      <c r="H119" s="776"/>
      <c r="I119" s="778" t="s">
        <v>975</v>
      </c>
      <c r="J119" s="776"/>
      <c r="K119" s="779">
        <v>20000</v>
      </c>
      <c r="L119" s="776"/>
      <c r="M119" s="781">
        <v>0</v>
      </c>
      <c r="N119" s="776"/>
      <c r="O119" s="782">
        <f>'J-2'!$G$26*365/12</f>
        <v>9.9888333333333339</v>
      </c>
      <c r="P119" s="776"/>
      <c r="Q119" s="783">
        <f t="shared" si="30"/>
        <v>199776.66666666669</v>
      </c>
      <c r="R119" s="776"/>
      <c r="S119" s="784">
        <f>'J-2'!$I$26</f>
        <v>3.0999999999999999E-3</v>
      </c>
      <c r="T119" s="776"/>
      <c r="U119" s="785">
        <f t="shared" si="31"/>
        <v>0</v>
      </c>
      <c r="V119" s="776"/>
      <c r="W119" s="783">
        <f t="shared" si="32"/>
        <v>199776.66666666669</v>
      </c>
      <c r="Y119" s="786">
        <v>1.4E-3</v>
      </c>
      <c r="AA119" s="787">
        <f t="shared" si="33"/>
        <v>0</v>
      </c>
      <c r="AC119" s="764" t="s">
        <v>912</v>
      </c>
    </row>
    <row r="120" spans="1:32">
      <c r="A120" s="763">
        <f t="shared" si="21"/>
        <v>100</v>
      </c>
      <c r="C120" s="775" t="s">
        <v>969</v>
      </c>
      <c r="D120" s="776"/>
      <c r="E120" s="777" t="s">
        <v>912</v>
      </c>
      <c r="F120" s="777"/>
      <c r="G120" s="777" t="s">
        <v>962</v>
      </c>
      <c r="H120" s="776"/>
      <c r="I120" s="778" t="s">
        <v>971</v>
      </c>
      <c r="J120" s="776"/>
      <c r="K120" s="779">
        <v>500</v>
      </c>
      <c r="L120" s="776"/>
      <c r="M120" s="781">
        <v>0</v>
      </c>
      <c r="N120" s="776"/>
      <c r="O120" s="782">
        <f>'J-2'!$G$26*365/12</f>
        <v>9.9888333333333339</v>
      </c>
      <c r="P120" s="776"/>
      <c r="Q120" s="783">
        <f t="shared" si="30"/>
        <v>4994.416666666667</v>
      </c>
      <c r="R120" s="776"/>
      <c r="S120" s="784">
        <f>'J-2'!$I$26</f>
        <v>3.0999999999999999E-3</v>
      </c>
      <c r="T120" s="776"/>
      <c r="U120" s="785">
        <f t="shared" si="31"/>
        <v>0</v>
      </c>
      <c r="V120" s="776"/>
      <c r="W120" s="783">
        <f t="shared" si="32"/>
        <v>4994.416666666667</v>
      </c>
      <c r="Y120" s="786">
        <v>1.4E-3</v>
      </c>
      <c r="AA120" s="787">
        <f t="shared" si="33"/>
        <v>0</v>
      </c>
      <c r="AC120" s="764" t="s">
        <v>912</v>
      </c>
    </row>
    <row r="121" spans="1:32">
      <c r="A121" s="763">
        <f t="shared" si="21"/>
        <v>101</v>
      </c>
      <c r="C121" s="790" t="s">
        <v>976</v>
      </c>
      <c r="D121" s="776"/>
      <c r="E121" s="777"/>
      <c r="F121" s="777"/>
      <c r="G121" s="777"/>
      <c r="H121" s="776"/>
      <c r="I121" s="777"/>
      <c r="J121" s="776"/>
      <c r="K121" s="791">
        <f>SUM(K113:K120)</f>
        <v>20650</v>
      </c>
      <c r="L121" s="776"/>
      <c r="M121" s="792">
        <f>SUM(M113:M120)</f>
        <v>206400</v>
      </c>
      <c r="N121" s="776"/>
      <c r="O121" s="776"/>
      <c r="P121" s="776"/>
      <c r="Q121" s="799">
        <f>SUM(Q113:Q120)</f>
        <v>206269.40833333335</v>
      </c>
      <c r="R121" s="776"/>
      <c r="S121" s="776"/>
      <c r="T121" s="776"/>
      <c r="U121" s="799">
        <f>SUM(U113:U120)</f>
        <v>639.83999999999992</v>
      </c>
      <c r="V121" s="776"/>
      <c r="W121" s="799">
        <f>SUM(W113:W120)</f>
        <v>206909.24833333335</v>
      </c>
      <c r="AA121" s="793">
        <f>SUM(AA113:AA120)</f>
        <v>288.95999999999998</v>
      </c>
    </row>
    <row r="122" spans="1:32">
      <c r="A122" s="763" t="str">
        <f t="shared" si="21"/>
        <v/>
      </c>
      <c r="C122" s="790" t="s">
        <v>877</v>
      </c>
      <c r="D122" s="776"/>
      <c r="E122" s="777"/>
      <c r="F122" s="777"/>
      <c r="G122" s="777"/>
      <c r="H122" s="776"/>
      <c r="I122" s="777"/>
      <c r="J122" s="776"/>
      <c r="K122" s="794"/>
      <c r="L122" s="776"/>
      <c r="M122" s="780"/>
      <c r="N122" s="776"/>
      <c r="O122" s="776"/>
      <c r="P122" s="776"/>
      <c r="Q122" s="776"/>
      <c r="R122" s="776"/>
      <c r="S122" s="776"/>
      <c r="T122" s="776"/>
      <c r="U122" s="776"/>
      <c r="V122" s="776"/>
      <c r="W122" s="776"/>
    </row>
    <row r="123" spans="1:32">
      <c r="A123" s="763">
        <v>102</v>
      </c>
      <c r="C123" s="775" t="s">
        <v>932</v>
      </c>
      <c r="D123" s="776"/>
      <c r="E123" s="777" t="s">
        <v>912</v>
      </c>
      <c r="F123" s="777"/>
      <c r="G123" s="777" t="s">
        <v>977</v>
      </c>
      <c r="H123" s="776"/>
      <c r="I123" s="778" t="s">
        <v>978</v>
      </c>
      <c r="J123" s="776"/>
      <c r="K123" s="794">
        <v>0</v>
      </c>
      <c r="L123" s="776"/>
      <c r="M123" s="781">
        <v>50984</v>
      </c>
      <c r="N123" s="776"/>
      <c r="O123" s="782">
        <v>0</v>
      </c>
      <c r="P123" s="776"/>
      <c r="Q123" s="783">
        <f t="shared" ref="Q123:Q124" si="34">K123*O123</f>
        <v>0</v>
      </c>
      <c r="R123" s="776"/>
      <c r="S123" s="784">
        <f>'J-2'!$K$28</f>
        <v>0.33150000000000002</v>
      </c>
      <c r="T123" s="776"/>
      <c r="U123" s="785">
        <f t="shared" ref="U123:U124" si="35">S123*M123</f>
        <v>16901.196</v>
      </c>
      <c r="V123" s="776"/>
      <c r="W123" s="783">
        <f t="shared" ref="W123:W124" si="36">U123+Q123</f>
        <v>16901.196</v>
      </c>
      <c r="Y123" s="786">
        <v>1.4E-3</v>
      </c>
      <c r="AA123" s="787">
        <f t="shared" ref="AA123:AA124" si="37">Y123*M123</f>
        <v>71.377600000000001</v>
      </c>
      <c r="AC123" s="764" t="s">
        <v>912</v>
      </c>
    </row>
    <row r="124" spans="1:32">
      <c r="A124" s="763">
        <f t="shared" si="21"/>
        <v>103</v>
      </c>
      <c r="C124" s="775" t="s">
        <v>952</v>
      </c>
      <c r="D124" s="776"/>
      <c r="E124" s="777" t="s">
        <v>912</v>
      </c>
      <c r="F124" s="777"/>
      <c r="G124" s="777" t="s">
        <v>977</v>
      </c>
      <c r="H124" s="776"/>
      <c r="I124" s="778" t="s">
        <v>979</v>
      </c>
      <c r="J124" s="776"/>
      <c r="K124" s="794">
        <v>0</v>
      </c>
      <c r="L124" s="776"/>
      <c r="M124" s="781">
        <v>235</v>
      </c>
      <c r="N124" s="776"/>
      <c r="O124" s="782">
        <v>0</v>
      </c>
      <c r="P124" s="776"/>
      <c r="Q124" s="783">
        <f t="shared" si="34"/>
        <v>0</v>
      </c>
      <c r="R124" s="776"/>
      <c r="S124" s="784">
        <f>'J-2'!$K$28</f>
        <v>0.33150000000000002</v>
      </c>
      <c r="T124" s="776"/>
      <c r="U124" s="785">
        <f t="shared" si="35"/>
        <v>77.902500000000003</v>
      </c>
      <c r="V124" s="776"/>
      <c r="W124" s="783">
        <f t="shared" si="36"/>
        <v>77.902500000000003</v>
      </c>
      <c r="Y124" s="786">
        <v>1.4E-3</v>
      </c>
      <c r="AA124" s="787">
        <f t="shared" si="37"/>
        <v>0.32900000000000001</v>
      </c>
      <c r="AC124" s="764" t="s">
        <v>912</v>
      </c>
    </row>
    <row r="125" spans="1:32">
      <c r="A125" s="763">
        <f t="shared" si="21"/>
        <v>104</v>
      </c>
      <c r="C125" s="790" t="s">
        <v>982</v>
      </c>
      <c r="D125" s="776"/>
      <c r="E125" s="777"/>
      <c r="F125" s="777"/>
      <c r="G125" s="777"/>
      <c r="H125" s="776"/>
      <c r="I125" s="777"/>
      <c r="J125" s="776"/>
      <c r="K125" s="791">
        <f>SUM(K123:K124)</f>
        <v>0</v>
      </c>
      <c r="L125" s="776"/>
      <c r="M125" s="792">
        <f>SUM(M123:M124)</f>
        <v>51219</v>
      </c>
      <c r="N125" s="776"/>
      <c r="O125" s="800"/>
      <c r="P125" s="776"/>
      <c r="Q125" s="799">
        <f>SUM(Q123:Q124)</f>
        <v>0</v>
      </c>
      <c r="R125" s="776"/>
      <c r="S125" s="776"/>
      <c r="T125" s="776"/>
      <c r="U125" s="799">
        <f>SUM(U123:U124)</f>
        <v>16979.0985</v>
      </c>
      <c r="V125" s="776"/>
      <c r="W125" s="799">
        <f>SUM(W123:W124)</f>
        <v>16979.0985</v>
      </c>
      <c r="AA125" s="793">
        <f>SUM(AA123:AA124)</f>
        <v>71.706599999999995</v>
      </c>
    </row>
    <row r="126" spans="1:32">
      <c r="A126" s="763" t="str">
        <f t="shared" si="21"/>
        <v/>
      </c>
      <c r="C126" s="790"/>
      <c r="D126" s="776"/>
      <c r="E126" s="777"/>
      <c r="F126" s="777"/>
      <c r="G126" s="777"/>
      <c r="H126" s="776"/>
      <c r="I126" s="777"/>
      <c r="J126" s="776"/>
      <c r="K126" s="776"/>
      <c r="L126" s="776"/>
      <c r="M126" s="776"/>
      <c r="N126" s="776"/>
      <c r="O126" s="800"/>
      <c r="P126" s="776"/>
      <c r="Q126" s="776"/>
      <c r="R126" s="776"/>
      <c r="S126" s="776"/>
      <c r="T126" s="776"/>
      <c r="U126" s="776"/>
      <c r="V126" s="776"/>
      <c r="W126" s="776"/>
    </row>
    <row r="127" spans="1:32">
      <c r="A127" s="763" t="str">
        <f t="shared" si="21"/>
        <v/>
      </c>
      <c r="C127" s="768" t="s">
        <v>986</v>
      </c>
      <c r="D127" s="768"/>
      <c r="E127" s="768"/>
      <c r="F127" s="768"/>
      <c r="G127" s="768"/>
      <c r="H127" s="768"/>
      <c r="I127" s="768"/>
      <c r="J127" s="768"/>
      <c r="K127" s="768"/>
      <c r="L127" s="768"/>
      <c r="M127" s="768"/>
      <c r="N127" s="768"/>
      <c r="O127" s="768"/>
      <c r="P127" s="768"/>
      <c r="Q127" s="768"/>
      <c r="R127" s="768"/>
      <c r="S127" s="768"/>
      <c r="T127" s="768"/>
      <c r="U127" s="768"/>
      <c r="V127" s="768"/>
      <c r="W127" s="768"/>
      <c r="X127" s="768"/>
      <c r="Y127" s="768"/>
      <c r="Z127" s="768"/>
      <c r="AA127" s="768"/>
      <c r="AB127" s="768"/>
      <c r="AC127" s="768"/>
    </row>
    <row r="128" spans="1:32" s="769" customFormat="1">
      <c r="A128" s="763" t="str">
        <f t="shared" si="21"/>
        <v/>
      </c>
      <c r="C128" s="770" t="s">
        <v>876</v>
      </c>
      <c r="D128" s="771"/>
      <c r="E128" s="772"/>
      <c r="F128" s="772"/>
      <c r="G128" s="772"/>
      <c r="H128" s="771"/>
      <c r="I128" s="772"/>
      <c r="J128" s="771"/>
      <c r="K128" s="773"/>
      <c r="L128" s="771"/>
      <c r="M128" s="774"/>
      <c r="N128" s="771"/>
      <c r="O128" s="771"/>
      <c r="P128" s="771"/>
      <c r="Q128" s="771"/>
      <c r="R128" s="771"/>
      <c r="S128" s="771"/>
      <c r="T128" s="771"/>
      <c r="U128" s="771"/>
      <c r="V128" s="771"/>
      <c r="W128" s="771"/>
      <c r="X128" s="771"/>
      <c r="Y128" s="771"/>
      <c r="Z128" s="771"/>
      <c r="AA128" s="771"/>
      <c r="AB128" s="771"/>
      <c r="AC128" s="771"/>
    </row>
    <row r="129" spans="1:29">
      <c r="A129" s="763">
        <v>105</v>
      </c>
      <c r="C129" s="775" t="s">
        <v>911</v>
      </c>
      <c r="D129" s="776"/>
      <c r="E129" s="777" t="s">
        <v>912</v>
      </c>
      <c r="F129" s="777"/>
      <c r="G129" s="777" t="s">
        <v>913</v>
      </c>
      <c r="H129" s="776"/>
      <c r="I129" s="778" t="s">
        <v>914</v>
      </c>
      <c r="J129" s="776"/>
      <c r="K129" s="779">
        <v>105750</v>
      </c>
      <c r="L129" s="776"/>
      <c r="M129" s="781">
        <v>1713682</v>
      </c>
      <c r="N129" s="776"/>
      <c r="O129" s="782">
        <f>'J-2'!$G$26*365/12</f>
        <v>9.9888333333333339</v>
      </c>
      <c r="P129" s="776"/>
      <c r="Q129" s="783">
        <f t="shared" ref="Q129:Q149" si="38">K129*O129</f>
        <v>1056319.125</v>
      </c>
      <c r="R129" s="776"/>
      <c r="S129" s="784">
        <f>'J-2'!$I$26</f>
        <v>3.0999999999999999E-3</v>
      </c>
      <c r="T129" s="776"/>
      <c r="U129" s="785">
        <f t="shared" ref="U129:U149" si="39">S129*M129</f>
        <v>5312.4142000000002</v>
      </c>
      <c r="V129" s="776"/>
      <c r="W129" s="783">
        <f t="shared" ref="W129:W149" si="40">U129+Q129</f>
        <v>1061631.5392</v>
      </c>
      <c r="Y129" s="786">
        <v>1.4E-3</v>
      </c>
      <c r="AA129" s="787">
        <f t="shared" ref="AA129:AA149" si="41">Y129*M129</f>
        <v>2399.1547999999998</v>
      </c>
      <c r="AC129" s="764" t="s">
        <v>912</v>
      </c>
    </row>
    <row r="130" spans="1:29">
      <c r="A130" s="763">
        <f t="shared" si="21"/>
        <v>106</v>
      </c>
      <c r="C130" s="775" t="s">
        <v>915</v>
      </c>
      <c r="D130" s="776"/>
      <c r="E130" s="777" t="s">
        <v>912</v>
      </c>
      <c r="F130" s="777"/>
      <c r="G130" s="777" t="s">
        <v>913</v>
      </c>
      <c r="H130" s="776"/>
      <c r="I130" s="778" t="s">
        <v>916</v>
      </c>
      <c r="J130" s="776"/>
      <c r="K130" s="779">
        <v>200</v>
      </c>
      <c r="L130" s="776"/>
      <c r="M130" s="781">
        <v>870</v>
      </c>
      <c r="N130" s="776"/>
      <c r="O130" s="782">
        <f>'J-2'!$G$26*365/12</f>
        <v>9.9888333333333339</v>
      </c>
      <c r="P130" s="776"/>
      <c r="Q130" s="783">
        <f t="shared" si="38"/>
        <v>1997.7666666666669</v>
      </c>
      <c r="R130" s="776"/>
      <c r="S130" s="784">
        <f>'J-2'!$I$26</f>
        <v>3.0999999999999999E-3</v>
      </c>
      <c r="T130" s="776"/>
      <c r="U130" s="785">
        <f t="shared" si="39"/>
        <v>2.6970000000000001</v>
      </c>
      <c r="V130" s="776"/>
      <c r="W130" s="783">
        <f t="shared" si="40"/>
        <v>2000.4636666666668</v>
      </c>
      <c r="Y130" s="786">
        <v>1.4E-3</v>
      </c>
      <c r="AA130" s="787">
        <f t="shared" si="41"/>
        <v>1.218</v>
      </c>
      <c r="AC130" s="764" t="s">
        <v>912</v>
      </c>
    </row>
    <row r="131" spans="1:29">
      <c r="A131" s="763">
        <f t="shared" si="21"/>
        <v>107</v>
      </c>
      <c r="C131" s="775" t="s">
        <v>917</v>
      </c>
      <c r="D131" s="776"/>
      <c r="E131" s="777" t="s">
        <v>912</v>
      </c>
      <c r="F131" s="777"/>
      <c r="G131" s="777" t="s">
        <v>913</v>
      </c>
      <c r="H131" s="776"/>
      <c r="I131" s="778" t="s">
        <v>918</v>
      </c>
      <c r="J131" s="776"/>
      <c r="K131" s="779">
        <v>1200</v>
      </c>
      <c r="L131" s="776"/>
      <c r="M131" s="781">
        <v>2940</v>
      </c>
      <c r="N131" s="776"/>
      <c r="O131" s="782">
        <f>'J-2'!$G$26*365/12</f>
        <v>9.9888333333333339</v>
      </c>
      <c r="P131" s="776"/>
      <c r="Q131" s="783">
        <f t="shared" si="38"/>
        <v>11986.6</v>
      </c>
      <c r="R131" s="776"/>
      <c r="S131" s="784">
        <f>'J-2'!$I$26</f>
        <v>3.0999999999999999E-3</v>
      </c>
      <c r="T131" s="776"/>
      <c r="U131" s="785">
        <f t="shared" si="39"/>
        <v>9.113999999999999</v>
      </c>
      <c r="V131" s="776"/>
      <c r="W131" s="783">
        <f t="shared" si="40"/>
        <v>11995.714</v>
      </c>
      <c r="Y131" s="786">
        <v>1.4E-3</v>
      </c>
      <c r="AA131" s="787">
        <f t="shared" si="41"/>
        <v>4.1159999999999997</v>
      </c>
      <c r="AC131" s="764" t="s">
        <v>912</v>
      </c>
    </row>
    <row r="132" spans="1:29">
      <c r="A132" s="763">
        <f t="shared" si="21"/>
        <v>108</v>
      </c>
      <c r="C132" s="775" t="s">
        <v>919</v>
      </c>
      <c r="D132" s="776"/>
      <c r="E132" s="777" t="s">
        <v>912</v>
      </c>
      <c r="F132" s="777"/>
      <c r="G132" s="777" t="s">
        <v>913</v>
      </c>
      <c r="H132" s="776"/>
      <c r="I132" s="778" t="s">
        <v>920</v>
      </c>
      <c r="J132" s="776"/>
      <c r="K132" s="779">
        <v>1550</v>
      </c>
      <c r="L132" s="776"/>
      <c r="M132" s="781">
        <v>0</v>
      </c>
      <c r="N132" s="776"/>
      <c r="O132" s="782">
        <f>'J-2'!$G$26*365/12</f>
        <v>9.9888333333333339</v>
      </c>
      <c r="P132" s="776"/>
      <c r="Q132" s="783">
        <f t="shared" si="38"/>
        <v>15482.691666666668</v>
      </c>
      <c r="R132" s="776"/>
      <c r="S132" s="784">
        <f>'J-2'!$I$26</f>
        <v>3.0999999999999999E-3</v>
      </c>
      <c r="T132" s="776"/>
      <c r="U132" s="785">
        <f t="shared" si="39"/>
        <v>0</v>
      </c>
      <c r="V132" s="776"/>
      <c r="W132" s="783">
        <f t="shared" si="40"/>
        <v>15482.691666666668</v>
      </c>
      <c r="Y132" s="786">
        <v>1.4E-3</v>
      </c>
      <c r="AA132" s="787">
        <f t="shared" si="41"/>
        <v>0</v>
      </c>
      <c r="AC132" s="764" t="s">
        <v>912</v>
      </c>
    </row>
    <row r="133" spans="1:29">
      <c r="A133" s="763">
        <f t="shared" si="21"/>
        <v>109</v>
      </c>
      <c r="C133" s="775" t="s">
        <v>911</v>
      </c>
      <c r="D133" s="776"/>
      <c r="E133" s="777" t="s">
        <v>912</v>
      </c>
      <c r="F133" s="777"/>
      <c r="G133" s="777" t="s">
        <v>913</v>
      </c>
      <c r="H133" s="776"/>
      <c r="I133" s="778" t="s">
        <v>921</v>
      </c>
      <c r="J133" s="776"/>
      <c r="K133" s="779">
        <v>10000</v>
      </c>
      <c r="L133" s="776"/>
      <c r="M133" s="781">
        <v>294000</v>
      </c>
      <c r="N133" s="776"/>
      <c r="O133" s="782">
        <f>'J-2'!$G$26*365/12</f>
        <v>9.9888333333333339</v>
      </c>
      <c r="P133" s="776"/>
      <c r="Q133" s="783">
        <f t="shared" si="38"/>
        <v>99888.333333333343</v>
      </c>
      <c r="R133" s="776"/>
      <c r="S133" s="784">
        <f>'J-2'!$I$26</f>
        <v>3.0999999999999999E-3</v>
      </c>
      <c r="T133" s="776"/>
      <c r="U133" s="785">
        <f t="shared" si="39"/>
        <v>911.4</v>
      </c>
      <c r="V133" s="776"/>
      <c r="W133" s="783">
        <f t="shared" si="40"/>
        <v>100799.73333333334</v>
      </c>
      <c r="Y133" s="786">
        <v>1.4E-3</v>
      </c>
      <c r="AA133" s="787">
        <f t="shared" si="41"/>
        <v>411.6</v>
      </c>
      <c r="AC133" s="764" t="s">
        <v>912</v>
      </c>
    </row>
    <row r="134" spans="1:29">
      <c r="A134" s="763">
        <f t="shared" si="21"/>
        <v>110</v>
      </c>
      <c r="C134" s="775" t="s">
        <v>922</v>
      </c>
      <c r="D134" s="776"/>
      <c r="E134" s="777" t="s">
        <v>912</v>
      </c>
      <c r="F134" s="777"/>
      <c r="G134" s="777" t="s">
        <v>913</v>
      </c>
      <c r="H134" s="776"/>
      <c r="I134" s="778" t="s">
        <v>923</v>
      </c>
      <c r="J134" s="776"/>
      <c r="K134" s="779">
        <v>200</v>
      </c>
      <c r="L134" s="776"/>
      <c r="M134" s="781">
        <v>2940</v>
      </c>
      <c r="N134" s="776"/>
      <c r="O134" s="782">
        <f>'J-2'!$G$26*365/12</f>
        <v>9.9888333333333339</v>
      </c>
      <c r="P134" s="776"/>
      <c r="Q134" s="783">
        <f t="shared" si="38"/>
        <v>1997.7666666666669</v>
      </c>
      <c r="R134" s="776"/>
      <c r="S134" s="784">
        <f>'J-2'!$I$26</f>
        <v>3.0999999999999999E-3</v>
      </c>
      <c r="T134" s="776"/>
      <c r="U134" s="785">
        <f t="shared" si="39"/>
        <v>9.113999999999999</v>
      </c>
      <c r="V134" s="776"/>
      <c r="W134" s="783">
        <f t="shared" si="40"/>
        <v>2006.8806666666669</v>
      </c>
      <c r="Y134" s="786">
        <v>1.4E-3</v>
      </c>
      <c r="AA134" s="787">
        <f t="shared" si="41"/>
        <v>4.1159999999999997</v>
      </c>
      <c r="AC134" s="764" t="s">
        <v>912</v>
      </c>
    </row>
    <row r="135" spans="1:29">
      <c r="A135" s="763">
        <f t="shared" si="21"/>
        <v>111</v>
      </c>
      <c r="C135" s="775" t="s">
        <v>924</v>
      </c>
      <c r="D135" s="776"/>
      <c r="E135" s="777" t="s">
        <v>912</v>
      </c>
      <c r="F135" s="777"/>
      <c r="G135" s="777" t="s">
        <v>913</v>
      </c>
      <c r="H135" s="776"/>
      <c r="I135" s="778" t="s">
        <v>925</v>
      </c>
      <c r="J135" s="776"/>
      <c r="K135" s="779">
        <v>550</v>
      </c>
      <c r="L135" s="776"/>
      <c r="M135" s="781">
        <v>14069</v>
      </c>
      <c r="N135" s="776"/>
      <c r="O135" s="782">
        <f>'J-2'!$G$26*365/12</f>
        <v>9.9888333333333339</v>
      </c>
      <c r="P135" s="776"/>
      <c r="Q135" s="783">
        <f t="shared" si="38"/>
        <v>5493.8583333333336</v>
      </c>
      <c r="R135" s="776"/>
      <c r="S135" s="784">
        <f>'J-2'!$I$26</f>
        <v>3.0999999999999999E-3</v>
      </c>
      <c r="T135" s="776"/>
      <c r="U135" s="785">
        <f t="shared" si="39"/>
        <v>43.613900000000001</v>
      </c>
      <c r="V135" s="776"/>
      <c r="W135" s="783">
        <f t="shared" si="40"/>
        <v>5537.4722333333339</v>
      </c>
      <c r="Y135" s="786">
        <v>1.4E-3</v>
      </c>
      <c r="AA135" s="787">
        <f t="shared" si="41"/>
        <v>19.6966</v>
      </c>
      <c r="AC135" s="764" t="s">
        <v>912</v>
      </c>
    </row>
    <row r="136" spans="1:29">
      <c r="A136" s="763">
        <f t="shared" si="21"/>
        <v>112</v>
      </c>
      <c r="C136" s="775" t="s">
        <v>911</v>
      </c>
      <c r="D136" s="776"/>
      <c r="E136" s="777" t="s">
        <v>912</v>
      </c>
      <c r="F136" s="777"/>
      <c r="G136" s="777" t="s">
        <v>913</v>
      </c>
      <c r="H136" s="776"/>
      <c r="I136" s="778" t="s">
        <v>926</v>
      </c>
      <c r="J136" s="776"/>
      <c r="K136" s="779">
        <v>5661</v>
      </c>
      <c r="L136" s="776"/>
      <c r="M136" s="781">
        <v>166440</v>
      </c>
      <c r="N136" s="776"/>
      <c r="O136" s="782">
        <f>'J-2'!$G$26*365/12</f>
        <v>9.9888333333333339</v>
      </c>
      <c r="P136" s="776"/>
      <c r="Q136" s="783">
        <f t="shared" si="38"/>
        <v>56546.785500000005</v>
      </c>
      <c r="R136" s="776"/>
      <c r="S136" s="784">
        <f>'J-2'!$I$26</f>
        <v>3.0999999999999999E-3</v>
      </c>
      <c r="T136" s="776"/>
      <c r="U136" s="785">
        <f t="shared" si="39"/>
        <v>515.96399999999994</v>
      </c>
      <c r="V136" s="776"/>
      <c r="W136" s="783">
        <f t="shared" si="40"/>
        <v>57062.749500000005</v>
      </c>
      <c r="Y136" s="786">
        <v>1.4E-3</v>
      </c>
      <c r="AA136" s="787">
        <f t="shared" si="41"/>
        <v>233.01599999999999</v>
      </c>
      <c r="AC136" s="764" t="s">
        <v>912</v>
      </c>
    </row>
    <row r="137" spans="1:29">
      <c r="A137" s="763">
        <f t="shared" si="21"/>
        <v>113</v>
      </c>
      <c r="C137" s="775" t="s">
        <v>911</v>
      </c>
      <c r="D137" s="776"/>
      <c r="E137" s="777" t="s">
        <v>912</v>
      </c>
      <c r="F137" s="777"/>
      <c r="G137" s="777" t="s">
        <v>913</v>
      </c>
      <c r="H137" s="776"/>
      <c r="I137" s="778" t="s">
        <v>927</v>
      </c>
      <c r="J137" s="776"/>
      <c r="K137" s="779">
        <v>5690</v>
      </c>
      <c r="L137" s="776"/>
      <c r="M137" s="781">
        <v>167280</v>
      </c>
      <c r="N137" s="776"/>
      <c r="O137" s="782">
        <f>'J-2'!$G$26*365/12</f>
        <v>9.9888333333333339</v>
      </c>
      <c r="P137" s="776"/>
      <c r="Q137" s="783">
        <f t="shared" si="38"/>
        <v>56836.46166666667</v>
      </c>
      <c r="R137" s="776"/>
      <c r="S137" s="784">
        <f>'J-2'!$I$26</f>
        <v>3.0999999999999999E-3</v>
      </c>
      <c r="T137" s="776"/>
      <c r="U137" s="785">
        <f t="shared" si="39"/>
        <v>518.56799999999998</v>
      </c>
      <c r="V137" s="776"/>
      <c r="W137" s="783">
        <f t="shared" si="40"/>
        <v>57355.029666666669</v>
      </c>
      <c r="Y137" s="786">
        <v>1.4E-3</v>
      </c>
      <c r="AA137" s="787">
        <f t="shared" si="41"/>
        <v>234.19200000000001</v>
      </c>
      <c r="AC137" s="764" t="s">
        <v>912</v>
      </c>
    </row>
    <row r="138" spans="1:29">
      <c r="A138" s="763">
        <f t="shared" si="21"/>
        <v>114</v>
      </c>
      <c r="C138" s="775" t="s">
        <v>928</v>
      </c>
      <c r="D138" s="776"/>
      <c r="E138" s="777" t="s">
        <v>912</v>
      </c>
      <c r="F138" s="777"/>
      <c r="G138" s="777" t="s">
        <v>913</v>
      </c>
      <c r="H138" s="776"/>
      <c r="I138" s="778" t="s">
        <v>929</v>
      </c>
      <c r="J138" s="776"/>
      <c r="K138" s="779">
        <v>8000</v>
      </c>
      <c r="L138" s="776"/>
      <c r="M138" s="781">
        <v>0</v>
      </c>
      <c r="N138" s="776"/>
      <c r="O138" s="782">
        <f>'J-2'!$G$26*365/12</f>
        <v>9.9888333333333339</v>
      </c>
      <c r="P138" s="776"/>
      <c r="Q138" s="783">
        <f t="shared" si="38"/>
        <v>79910.666666666672</v>
      </c>
      <c r="R138" s="776"/>
      <c r="S138" s="784">
        <f>'J-2'!$I$26</f>
        <v>3.0999999999999999E-3</v>
      </c>
      <c r="T138" s="776"/>
      <c r="U138" s="785">
        <f t="shared" si="39"/>
        <v>0</v>
      </c>
      <c r="V138" s="776"/>
      <c r="W138" s="783">
        <f t="shared" si="40"/>
        <v>79910.666666666672</v>
      </c>
      <c r="Y138" s="786">
        <v>1.4E-3</v>
      </c>
      <c r="AA138" s="787">
        <f t="shared" si="41"/>
        <v>0</v>
      </c>
      <c r="AC138" s="764" t="s">
        <v>912</v>
      </c>
    </row>
    <row r="139" spans="1:29">
      <c r="A139" s="763">
        <f t="shared" si="21"/>
        <v>115</v>
      </c>
      <c r="C139" s="775" t="s">
        <v>928</v>
      </c>
      <c r="D139" s="776"/>
      <c r="E139" s="777" t="s">
        <v>912</v>
      </c>
      <c r="F139" s="777"/>
      <c r="G139" s="777" t="s">
        <v>913</v>
      </c>
      <c r="H139" s="776"/>
      <c r="I139" s="778" t="s">
        <v>930</v>
      </c>
      <c r="J139" s="776"/>
      <c r="K139" s="779">
        <v>16500</v>
      </c>
      <c r="L139" s="776"/>
      <c r="M139" s="781">
        <v>0</v>
      </c>
      <c r="N139" s="776"/>
      <c r="O139" s="782">
        <f>'J-2'!$G$26*365/12</f>
        <v>9.9888333333333339</v>
      </c>
      <c r="P139" s="776"/>
      <c r="Q139" s="783">
        <f t="shared" si="38"/>
        <v>164815.75</v>
      </c>
      <c r="R139" s="776"/>
      <c r="S139" s="784">
        <f>'J-2'!$I$26</f>
        <v>3.0999999999999999E-3</v>
      </c>
      <c r="T139" s="776"/>
      <c r="U139" s="785">
        <f t="shared" si="39"/>
        <v>0</v>
      </c>
      <c r="V139" s="776"/>
      <c r="W139" s="783">
        <f t="shared" si="40"/>
        <v>164815.75</v>
      </c>
      <c r="Y139" s="786">
        <v>1.4E-3</v>
      </c>
      <c r="AA139" s="787">
        <f t="shared" si="41"/>
        <v>0</v>
      </c>
      <c r="AC139" s="764" t="s">
        <v>912</v>
      </c>
    </row>
    <row r="140" spans="1:29">
      <c r="A140" s="763">
        <f t="shared" ref="A140:A203" si="42">IF(OR(K140/2&gt;0,M140/2&gt;0),A139+1,"")</f>
        <v>116</v>
      </c>
      <c r="C140" s="775" t="s">
        <v>928</v>
      </c>
      <c r="D140" s="776"/>
      <c r="E140" s="777" t="s">
        <v>912</v>
      </c>
      <c r="F140" s="777"/>
      <c r="G140" s="777" t="s">
        <v>913</v>
      </c>
      <c r="H140" s="776"/>
      <c r="I140" s="778" t="s">
        <v>1021</v>
      </c>
      <c r="J140" s="776"/>
      <c r="K140" s="779">
        <v>5951</v>
      </c>
      <c r="L140" s="780"/>
      <c r="M140" s="789">
        <f>K140*365/12*'G-1 '!$M$504</f>
        <v>0</v>
      </c>
      <c r="N140" s="776"/>
      <c r="O140" s="782">
        <f>'J-2'!$G$26*365/12</f>
        <v>9.9888333333333339</v>
      </c>
      <c r="P140" s="776"/>
      <c r="Q140" s="783">
        <f t="shared" si="38"/>
        <v>59443.547166666671</v>
      </c>
      <c r="R140" s="776"/>
      <c r="S140" s="784">
        <f>'J-2'!$I$26</f>
        <v>3.0999999999999999E-3</v>
      </c>
      <c r="T140" s="776"/>
      <c r="U140" s="785">
        <f t="shared" si="39"/>
        <v>0</v>
      </c>
      <c r="V140" s="776"/>
      <c r="W140" s="783">
        <f t="shared" si="40"/>
        <v>59443.547166666671</v>
      </c>
      <c r="Y140" s="786">
        <v>1.4E-3</v>
      </c>
      <c r="AA140" s="787">
        <f t="shared" si="41"/>
        <v>0</v>
      </c>
      <c r="AC140" s="764" t="s">
        <v>912</v>
      </c>
    </row>
    <row r="141" spans="1:29">
      <c r="A141" s="763">
        <f t="shared" si="42"/>
        <v>117</v>
      </c>
      <c r="C141" s="775" t="s">
        <v>911</v>
      </c>
      <c r="D141" s="776"/>
      <c r="E141" s="777" t="s">
        <v>912</v>
      </c>
      <c r="F141" s="777"/>
      <c r="G141" s="777" t="s">
        <v>913</v>
      </c>
      <c r="H141" s="776"/>
      <c r="I141" s="778" t="s">
        <v>931</v>
      </c>
      <c r="J141" s="776"/>
      <c r="K141" s="779">
        <v>5722</v>
      </c>
      <c r="L141" s="776"/>
      <c r="M141" s="781">
        <v>168240</v>
      </c>
      <c r="N141" s="776"/>
      <c r="O141" s="782">
        <f>'J-2'!$G$26*365/12</f>
        <v>9.9888333333333339</v>
      </c>
      <c r="P141" s="776"/>
      <c r="Q141" s="783">
        <f t="shared" si="38"/>
        <v>57156.104333333336</v>
      </c>
      <c r="R141" s="776"/>
      <c r="S141" s="784">
        <f>'J-2'!$I$26</f>
        <v>3.0999999999999999E-3</v>
      </c>
      <c r="T141" s="776"/>
      <c r="U141" s="785">
        <f t="shared" si="39"/>
        <v>521.54399999999998</v>
      </c>
      <c r="V141" s="776"/>
      <c r="W141" s="783">
        <f t="shared" si="40"/>
        <v>57677.648333333338</v>
      </c>
      <c r="Y141" s="786">
        <v>1.4E-3</v>
      </c>
      <c r="AA141" s="787">
        <f t="shared" si="41"/>
        <v>235.536</v>
      </c>
      <c r="AC141" s="764" t="s">
        <v>912</v>
      </c>
    </row>
    <row r="142" spans="1:29">
      <c r="A142" s="763">
        <f t="shared" si="42"/>
        <v>118</v>
      </c>
      <c r="C142" s="775" t="s">
        <v>932</v>
      </c>
      <c r="D142" s="776"/>
      <c r="E142" s="777" t="s">
        <v>912</v>
      </c>
      <c r="F142" s="777"/>
      <c r="G142" s="777" t="s">
        <v>913</v>
      </c>
      <c r="H142" s="776"/>
      <c r="I142" s="778" t="s">
        <v>933</v>
      </c>
      <c r="J142" s="776"/>
      <c r="K142" s="779">
        <v>760</v>
      </c>
      <c r="L142" s="776"/>
      <c r="M142" s="781">
        <v>22350</v>
      </c>
      <c r="N142" s="776"/>
      <c r="O142" s="782">
        <f>'J-2'!$G$26*365/12</f>
        <v>9.9888333333333339</v>
      </c>
      <c r="P142" s="776"/>
      <c r="Q142" s="783">
        <f t="shared" si="38"/>
        <v>7591.5133333333333</v>
      </c>
      <c r="R142" s="776"/>
      <c r="S142" s="784">
        <f>'J-2'!$I$26</f>
        <v>3.0999999999999999E-3</v>
      </c>
      <c r="T142" s="776"/>
      <c r="U142" s="785">
        <f t="shared" si="39"/>
        <v>69.284999999999997</v>
      </c>
      <c r="V142" s="776"/>
      <c r="W142" s="783">
        <f t="shared" si="40"/>
        <v>7660.7983333333332</v>
      </c>
      <c r="Y142" s="786">
        <v>1.4E-3</v>
      </c>
      <c r="AA142" s="787">
        <f t="shared" si="41"/>
        <v>31.29</v>
      </c>
      <c r="AC142" s="764" t="s">
        <v>912</v>
      </c>
    </row>
    <row r="143" spans="1:29">
      <c r="A143" s="763">
        <f t="shared" si="42"/>
        <v>119</v>
      </c>
      <c r="C143" s="775" t="s">
        <v>922</v>
      </c>
      <c r="D143" s="776"/>
      <c r="E143" s="777" t="s">
        <v>912</v>
      </c>
      <c r="F143" s="777"/>
      <c r="G143" s="777" t="s">
        <v>913</v>
      </c>
      <c r="H143" s="776"/>
      <c r="I143" s="778" t="s">
        <v>934</v>
      </c>
      <c r="J143" s="776"/>
      <c r="K143" s="779">
        <v>150</v>
      </c>
      <c r="L143" s="776"/>
      <c r="M143" s="781">
        <v>0</v>
      </c>
      <c r="N143" s="776"/>
      <c r="O143" s="782">
        <f>'J-2'!$G$26*365/12</f>
        <v>9.9888333333333339</v>
      </c>
      <c r="P143" s="776"/>
      <c r="Q143" s="783">
        <f t="shared" si="38"/>
        <v>1498.325</v>
      </c>
      <c r="R143" s="776"/>
      <c r="S143" s="784">
        <f>'J-2'!$I$26</f>
        <v>3.0999999999999999E-3</v>
      </c>
      <c r="T143" s="776"/>
      <c r="U143" s="785">
        <f t="shared" si="39"/>
        <v>0</v>
      </c>
      <c r="V143" s="776"/>
      <c r="W143" s="783">
        <f t="shared" si="40"/>
        <v>1498.325</v>
      </c>
      <c r="Y143" s="786">
        <v>1.4E-3</v>
      </c>
      <c r="AA143" s="787">
        <f t="shared" si="41"/>
        <v>0</v>
      </c>
      <c r="AC143" s="764" t="s">
        <v>912</v>
      </c>
    </row>
    <row r="144" spans="1:29">
      <c r="A144" s="763">
        <f t="shared" si="42"/>
        <v>120</v>
      </c>
      <c r="C144" s="775" t="s">
        <v>922</v>
      </c>
      <c r="D144" s="776"/>
      <c r="E144" s="777" t="s">
        <v>912</v>
      </c>
      <c r="F144" s="777"/>
      <c r="G144" s="777" t="s">
        <v>913</v>
      </c>
      <c r="H144" s="776"/>
      <c r="I144" s="778" t="s">
        <v>935</v>
      </c>
      <c r="J144" s="776"/>
      <c r="K144" s="779">
        <v>250</v>
      </c>
      <c r="L144" s="776"/>
      <c r="M144" s="781">
        <v>3795</v>
      </c>
      <c r="N144" s="776"/>
      <c r="O144" s="782">
        <f>'J-2'!$G$26*365/12</f>
        <v>9.9888333333333339</v>
      </c>
      <c r="P144" s="776"/>
      <c r="Q144" s="783">
        <f t="shared" si="38"/>
        <v>2497.2083333333335</v>
      </c>
      <c r="R144" s="776"/>
      <c r="S144" s="784">
        <f>'J-2'!$I$26</f>
        <v>3.0999999999999999E-3</v>
      </c>
      <c r="T144" s="776"/>
      <c r="U144" s="785">
        <f t="shared" si="39"/>
        <v>11.7645</v>
      </c>
      <c r="V144" s="776"/>
      <c r="W144" s="783">
        <f t="shared" si="40"/>
        <v>2508.9728333333337</v>
      </c>
      <c r="Y144" s="786">
        <v>1.4E-3</v>
      </c>
      <c r="AA144" s="787">
        <f t="shared" si="41"/>
        <v>5.3129999999999997</v>
      </c>
      <c r="AC144" s="764" t="s">
        <v>912</v>
      </c>
    </row>
    <row r="145" spans="1:32">
      <c r="A145" s="763">
        <f t="shared" si="42"/>
        <v>121</v>
      </c>
      <c r="C145" s="775" t="s">
        <v>922</v>
      </c>
      <c r="D145" s="776"/>
      <c r="E145" s="777" t="s">
        <v>912</v>
      </c>
      <c r="F145" s="777"/>
      <c r="G145" s="777" t="s">
        <v>913</v>
      </c>
      <c r="H145" s="776"/>
      <c r="I145" s="778" t="s">
        <v>936</v>
      </c>
      <c r="J145" s="776"/>
      <c r="K145" s="779">
        <v>400</v>
      </c>
      <c r="L145" s="776"/>
      <c r="M145" s="781">
        <v>11760</v>
      </c>
      <c r="N145" s="776"/>
      <c r="O145" s="782">
        <f>'J-2'!$G$26*365/12</f>
        <v>9.9888333333333339</v>
      </c>
      <c r="P145" s="776"/>
      <c r="Q145" s="783">
        <f t="shared" si="38"/>
        <v>3995.5333333333338</v>
      </c>
      <c r="R145" s="776"/>
      <c r="S145" s="784">
        <f>'J-2'!$I$26</f>
        <v>3.0999999999999999E-3</v>
      </c>
      <c r="T145" s="776"/>
      <c r="U145" s="785">
        <f t="shared" si="39"/>
        <v>36.455999999999996</v>
      </c>
      <c r="V145" s="776"/>
      <c r="W145" s="783">
        <f t="shared" si="40"/>
        <v>4031.9893333333339</v>
      </c>
      <c r="Y145" s="786">
        <v>1.4E-3</v>
      </c>
      <c r="AA145" s="787">
        <f t="shared" si="41"/>
        <v>16.463999999999999</v>
      </c>
      <c r="AC145" s="764" t="s">
        <v>912</v>
      </c>
    </row>
    <row r="146" spans="1:32">
      <c r="A146" s="763">
        <f t="shared" si="42"/>
        <v>122</v>
      </c>
      <c r="C146" s="775" t="s">
        <v>911</v>
      </c>
      <c r="D146" s="776"/>
      <c r="E146" s="777" t="s">
        <v>912</v>
      </c>
      <c r="F146" s="777"/>
      <c r="G146" s="777" t="s">
        <v>913</v>
      </c>
      <c r="H146" s="776"/>
      <c r="I146" s="778" t="s">
        <v>937</v>
      </c>
      <c r="J146" s="776"/>
      <c r="K146" s="779">
        <v>40000</v>
      </c>
      <c r="L146" s="776"/>
      <c r="M146" s="781">
        <v>147000</v>
      </c>
      <c r="N146" s="776"/>
      <c r="O146" s="782">
        <f>'J-2'!$G$26*365/12</f>
        <v>9.9888333333333339</v>
      </c>
      <c r="P146" s="776"/>
      <c r="Q146" s="783">
        <f t="shared" si="38"/>
        <v>399553.33333333337</v>
      </c>
      <c r="R146" s="776"/>
      <c r="S146" s="784">
        <f>'J-2'!$I$26</f>
        <v>3.0999999999999999E-3</v>
      </c>
      <c r="T146" s="776"/>
      <c r="U146" s="785">
        <f t="shared" si="39"/>
        <v>455.7</v>
      </c>
      <c r="V146" s="776"/>
      <c r="W146" s="783">
        <f t="shared" si="40"/>
        <v>400009.03333333338</v>
      </c>
      <c r="Y146" s="786">
        <v>1.4E-3</v>
      </c>
      <c r="AA146" s="787">
        <f t="shared" si="41"/>
        <v>205.8</v>
      </c>
      <c r="AC146" s="764" t="s">
        <v>912</v>
      </c>
    </row>
    <row r="147" spans="1:32">
      <c r="A147" s="763">
        <f t="shared" si="42"/>
        <v>123</v>
      </c>
      <c r="C147" s="775" t="s">
        <v>938</v>
      </c>
      <c r="D147" s="776"/>
      <c r="E147" s="777" t="s">
        <v>912</v>
      </c>
      <c r="F147" s="777"/>
      <c r="G147" s="777" t="s">
        <v>913</v>
      </c>
      <c r="H147" s="776"/>
      <c r="I147" s="778" t="s">
        <v>939</v>
      </c>
      <c r="J147" s="776"/>
      <c r="K147" s="779">
        <v>800</v>
      </c>
      <c r="L147" s="776"/>
      <c r="M147" s="781">
        <v>23520</v>
      </c>
      <c r="N147" s="776"/>
      <c r="O147" s="782">
        <f>'J-2'!$G$26*365/12</f>
        <v>9.9888333333333339</v>
      </c>
      <c r="P147" s="776"/>
      <c r="Q147" s="783">
        <f t="shared" si="38"/>
        <v>7991.0666666666675</v>
      </c>
      <c r="R147" s="776"/>
      <c r="S147" s="784">
        <f>'J-2'!$I$26</f>
        <v>3.0999999999999999E-3</v>
      </c>
      <c r="T147" s="776"/>
      <c r="U147" s="785">
        <f t="shared" si="39"/>
        <v>72.911999999999992</v>
      </c>
      <c r="V147" s="776"/>
      <c r="W147" s="783">
        <f t="shared" si="40"/>
        <v>8063.9786666666678</v>
      </c>
      <c r="Y147" s="786">
        <v>1.4E-3</v>
      </c>
      <c r="AA147" s="787">
        <f t="shared" si="41"/>
        <v>32.927999999999997</v>
      </c>
      <c r="AC147" s="764" t="s">
        <v>912</v>
      </c>
    </row>
    <row r="148" spans="1:32">
      <c r="A148" s="763">
        <f t="shared" si="42"/>
        <v>124</v>
      </c>
      <c r="C148" s="775" t="s">
        <v>938</v>
      </c>
      <c r="D148" s="776"/>
      <c r="E148" s="777" t="s">
        <v>912</v>
      </c>
      <c r="F148" s="777"/>
      <c r="G148" s="777" t="s">
        <v>913</v>
      </c>
      <c r="H148" s="776"/>
      <c r="I148" s="778" t="s">
        <v>940</v>
      </c>
      <c r="J148" s="776"/>
      <c r="K148" s="779">
        <v>200</v>
      </c>
      <c r="L148" s="776"/>
      <c r="M148" s="781">
        <v>5880</v>
      </c>
      <c r="N148" s="776"/>
      <c r="O148" s="782">
        <f>'J-2'!$G$26*365/12</f>
        <v>9.9888333333333339</v>
      </c>
      <c r="P148" s="776"/>
      <c r="Q148" s="783">
        <f t="shared" si="38"/>
        <v>1997.7666666666669</v>
      </c>
      <c r="R148" s="776"/>
      <c r="S148" s="784">
        <f>'J-2'!$I$26</f>
        <v>3.0999999999999999E-3</v>
      </c>
      <c r="T148" s="776"/>
      <c r="U148" s="785">
        <f t="shared" si="39"/>
        <v>18.227999999999998</v>
      </c>
      <c r="V148" s="776"/>
      <c r="W148" s="783">
        <f t="shared" si="40"/>
        <v>2015.9946666666669</v>
      </c>
      <c r="Y148" s="786">
        <v>1.4E-3</v>
      </c>
      <c r="AA148" s="787">
        <f t="shared" si="41"/>
        <v>8.2319999999999993</v>
      </c>
      <c r="AC148" s="764" t="s">
        <v>912</v>
      </c>
    </row>
    <row r="149" spans="1:32">
      <c r="A149" s="763">
        <f t="shared" si="42"/>
        <v>125</v>
      </c>
      <c r="C149" s="775" t="s">
        <v>938</v>
      </c>
      <c r="D149" s="776"/>
      <c r="E149" s="777" t="s">
        <v>912</v>
      </c>
      <c r="F149" s="777"/>
      <c r="G149" s="777" t="s">
        <v>913</v>
      </c>
      <c r="H149" s="776"/>
      <c r="I149" s="778" t="s">
        <v>941</v>
      </c>
      <c r="J149" s="776"/>
      <c r="K149" s="779">
        <v>400</v>
      </c>
      <c r="L149" s="776"/>
      <c r="M149" s="781">
        <v>11760</v>
      </c>
      <c r="N149" s="776"/>
      <c r="O149" s="782">
        <f>'J-2'!$G$26*365/12</f>
        <v>9.9888333333333339</v>
      </c>
      <c r="P149" s="776"/>
      <c r="Q149" s="783">
        <f t="shared" si="38"/>
        <v>3995.5333333333338</v>
      </c>
      <c r="R149" s="776"/>
      <c r="S149" s="784">
        <f>'J-2'!$I$26</f>
        <v>3.0999999999999999E-3</v>
      </c>
      <c r="T149" s="776"/>
      <c r="U149" s="785">
        <f t="shared" si="39"/>
        <v>36.455999999999996</v>
      </c>
      <c r="V149" s="776"/>
      <c r="W149" s="783">
        <f t="shared" si="40"/>
        <v>4031.9893333333339</v>
      </c>
      <c r="Y149" s="786">
        <v>1.4E-3</v>
      </c>
      <c r="AA149" s="787">
        <f t="shared" si="41"/>
        <v>16.463999999999999</v>
      </c>
      <c r="AC149" s="764" t="s">
        <v>912</v>
      </c>
    </row>
    <row r="150" spans="1:32">
      <c r="A150" s="763">
        <f t="shared" si="42"/>
        <v>126</v>
      </c>
      <c r="C150" s="790" t="s">
        <v>960</v>
      </c>
      <c r="D150" s="776"/>
      <c r="E150" s="777"/>
      <c r="F150" s="777"/>
      <c r="G150" s="777"/>
      <c r="H150" s="776"/>
      <c r="I150" s="777"/>
      <c r="J150" s="776"/>
      <c r="K150" s="801">
        <f>SUM(K129:K149)</f>
        <v>209934</v>
      </c>
      <c r="L150" s="776"/>
      <c r="M150" s="801">
        <f>SUM(M129:M149)</f>
        <v>2756526</v>
      </c>
      <c r="N150" s="776"/>
      <c r="O150" s="776"/>
      <c r="P150" s="776"/>
      <c r="Q150" s="793">
        <f>SUM(Q129:Q149)</f>
        <v>2096995.7370000002</v>
      </c>
      <c r="R150" s="776"/>
      <c r="S150" s="776"/>
      <c r="T150" s="776"/>
      <c r="U150" s="793">
        <f>SUM(U129:U149)</f>
        <v>8545.230599999999</v>
      </c>
      <c r="V150" s="776"/>
      <c r="W150" s="793">
        <f>SUM(W129:W149)</f>
        <v>2105540.9676000006</v>
      </c>
      <c r="AA150" s="793">
        <f>SUM(AA129:AA149)</f>
        <v>3859.1363999999999</v>
      </c>
    </row>
    <row r="151" spans="1:32">
      <c r="A151" s="763" t="str">
        <f t="shared" si="42"/>
        <v/>
      </c>
      <c r="C151" s="790" t="s">
        <v>961</v>
      </c>
      <c r="D151" s="776"/>
      <c r="E151" s="777"/>
      <c r="F151" s="777"/>
      <c r="G151" s="777"/>
      <c r="H151" s="776"/>
      <c r="I151" s="777"/>
      <c r="J151" s="776"/>
      <c r="K151" s="794"/>
      <c r="L151" s="776"/>
      <c r="M151" s="780"/>
      <c r="N151" s="776"/>
      <c r="O151" s="776"/>
      <c r="P151" s="776"/>
      <c r="Q151" s="776"/>
      <c r="R151" s="776"/>
      <c r="S151" s="776"/>
      <c r="T151" s="776"/>
      <c r="U151" s="776"/>
      <c r="V151" s="776"/>
      <c r="W151" s="776"/>
    </row>
    <row r="152" spans="1:32">
      <c r="A152" s="763">
        <v>127</v>
      </c>
      <c r="C152" s="775" t="s">
        <v>932</v>
      </c>
      <c r="D152" s="776"/>
      <c r="E152" s="777" t="s">
        <v>912</v>
      </c>
      <c r="F152" s="777"/>
      <c r="G152" s="777" t="s">
        <v>962</v>
      </c>
      <c r="H152" s="776"/>
      <c r="I152" s="778" t="s">
        <v>965</v>
      </c>
      <c r="J152" s="776"/>
      <c r="K152" s="779">
        <v>0</v>
      </c>
      <c r="L152" s="776"/>
      <c r="M152" s="781">
        <v>4410</v>
      </c>
      <c r="N152" s="776"/>
      <c r="O152" s="782">
        <f>'J-2'!$G$26*365/12</f>
        <v>9.9888333333333339</v>
      </c>
      <c r="P152" s="776"/>
      <c r="Q152" s="783">
        <f t="shared" ref="Q152:Q159" si="43">K152*O152</f>
        <v>0</v>
      </c>
      <c r="R152" s="776"/>
      <c r="S152" s="784">
        <f>'J-2'!$I$26</f>
        <v>3.0999999999999999E-3</v>
      </c>
      <c r="T152" s="776"/>
      <c r="U152" s="785">
        <f t="shared" ref="U152:U159" si="44">S152*M152</f>
        <v>13.670999999999999</v>
      </c>
      <c r="V152" s="776"/>
      <c r="W152" s="783">
        <f t="shared" ref="W152:W159" si="45">U152+Q152</f>
        <v>13.670999999999999</v>
      </c>
      <c r="Y152" s="786">
        <v>1.4E-3</v>
      </c>
      <c r="AA152" s="787">
        <f t="shared" ref="AA152:AA159" si="46">Y152*M152</f>
        <v>6.1740000000000004</v>
      </c>
      <c r="AC152" s="764" t="s">
        <v>912</v>
      </c>
    </row>
    <row r="153" spans="1:32">
      <c r="A153" s="763">
        <f t="shared" si="42"/>
        <v>128</v>
      </c>
      <c r="C153" s="775" t="s">
        <v>966</v>
      </c>
      <c r="D153" s="776"/>
      <c r="E153" s="777" t="s">
        <v>912</v>
      </c>
      <c r="F153" s="777"/>
      <c r="G153" s="777" t="s">
        <v>962</v>
      </c>
      <c r="H153" s="776"/>
      <c r="I153" s="778" t="s">
        <v>968</v>
      </c>
      <c r="J153" s="776"/>
      <c r="K153" s="779">
        <v>0</v>
      </c>
      <c r="L153" s="776"/>
      <c r="M153" s="781">
        <v>6285</v>
      </c>
      <c r="N153" s="776"/>
      <c r="O153" s="782">
        <f>'J-2'!$G$26*365/12</f>
        <v>9.9888333333333339</v>
      </c>
      <c r="P153" s="776"/>
      <c r="Q153" s="783">
        <f t="shared" si="43"/>
        <v>0</v>
      </c>
      <c r="R153" s="776"/>
      <c r="S153" s="784">
        <f>'J-2'!$I$26</f>
        <v>3.0999999999999999E-3</v>
      </c>
      <c r="T153" s="776"/>
      <c r="U153" s="785">
        <f t="shared" si="44"/>
        <v>19.483499999999999</v>
      </c>
      <c r="V153" s="776"/>
      <c r="W153" s="783">
        <f t="shared" si="45"/>
        <v>19.483499999999999</v>
      </c>
      <c r="Y153" s="786">
        <v>1.4E-3</v>
      </c>
      <c r="AA153" s="787">
        <f t="shared" si="46"/>
        <v>8.7989999999999995</v>
      </c>
      <c r="AC153" s="764" t="s">
        <v>912</v>
      </c>
    </row>
    <row r="154" spans="1:32">
      <c r="A154" s="763">
        <f t="shared" si="42"/>
        <v>129</v>
      </c>
      <c r="C154" s="775" t="s">
        <v>966</v>
      </c>
      <c r="D154" s="776"/>
      <c r="E154" s="777" t="s">
        <v>912</v>
      </c>
      <c r="F154" s="777"/>
      <c r="G154" s="777" t="s">
        <v>962</v>
      </c>
      <c r="H154" s="776"/>
      <c r="I154" s="778" t="s">
        <v>967</v>
      </c>
      <c r="J154" s="776"/>
      <c r="K154" s="779">
        <v>0</v>
      </c>
      <c r="L154" s="776"/>
      <c r="M154" s="781">
        <v>216245</v>
      </c>
      <c r="N154" s="776"/>
      <c r="O154" s="782">
        <f>'J-2'!$G$26*365/12</f>
        <v>9.9888333333333339</v>
      </c>
      <c r="P154" s="776"/>
      <c r="Q154" s="783">
        <f t="shared" si="43"/>
        <v>0</v>
      </c>
      <c r="R154" s="776"/>
      <c r="S154" s="784">
        <f>'J-2'!$I$26</f>
        <v>3.0999999999999999E-3</v>
      </c>
      <c r="T154" s="776"/>
      <c r="U154" s="785">
        <f t="shared" si="44"/>
        <v>670.35950000000003</v>
      </c>
      <c r="V154" s="776"/>
      <c r="W154" s="783">
        <f t="shared" si="45"/>
        <v>670.35950000000003</v>
      </c>
      <c r="Y154" s="786">
        <v>1.4E-3</v>
      </c>
      <c r="AA154" s="787">
        <f t="shared" si="46"/>
        <v>302.74299999999999</v>
      </c>
      <c r="AC154" s="764" t="s">
        <v>912</v>
      </c>
    </row>
    <row r="155" spans="1:32">
      <c r="A155" s="763">
        <f t="shared" si="42"/>
        <v>130</v>
      </c>
      <c r="C155" s="775" t="s">
        <v>958</v>
      </c>
      <c r="D155" s="776"/>
      <c r="E155" s="777" t="s">
        <v>912</v>
      </c>
      <c r="F155" s="777"/>
      <c r="G155" s="777" t="s">
        <v>962</v>
      </c>
      <c r="H155" s="776"/>
      <c r="I155" s="778" t="s">
        <v>964</v>
      </c>
      <c r="J155" s="776"/>
      <c r="K155" s="779">
        <v>0</v>
      </c>
      <c r="L155" s="776"/>
      <c r="M155" s="781">
        <v>8136</v>
      </c>
      <c r="N155" s="776"/>
      <c r="O155" s="782">
        <f>'J-2'!$G$26*365/12</f>
        <v>9.9888333333333339</v>
      </c>
      <c r="P155" s="776"/>
      <c r="Q155" s="783">
        <f t="shared" si="43"/>
        <v>0</v>
      </c>
      <c r="R155" s="776"/>
      <c r="S155" s="784">
        <f>'J-2'!$I$26</f>
        <v>3.0999999999999999E-3</v>
      </c>
      <c r="T155" s="776"/>
      <c r="U155" s="785">
        <f t="shared" si="44"/>
        <v>25.221599999999999</v>
      </c>
      <c r="V155" s="776"/>
      <c r="W155" s="783">
        <f t="shared" si="45"/>
        <v>25.221599999999999</v>
      </c>
      <c r="Y155" s="786">
        <v>1.4E-3</v>
      </c>
      <c r="AA155" s="787">
        <f t="shared" si="46"/>
        <v>11.3904</v>
      </c>
      <c r="AC155" s="764" t="s">
        <v>912</v>
      </c>
    </row>
    <row r="156" spans="1:32">
      <c r="A156" s="763">
        <f t="shared" si="42"/>
        <v>131</v>
      </c>
      <c r="C156" s="775" t="s">
        <v>948</v>
      </c>
      <c r="D156" s="776"/>
      <c r="E156" s="777" t="s">
        <v>912</v>
      </c>
      <c r="F156" s="777"/>
      <c r="G156" s="777" t="s">
        <v>962</v>
      </c>
      <c r="H156" s="776"/>
      <c r="I156" s="778" t="s">
        <v>963</v>
      </c>
      <c r="J156" s="776"/>
      <c r="K156" s="779">
        <v>0</v>
      </c>
      <c r="L156" s="776"/>
      <c r="M156" s="781">
        <v>5880</v>
      </c>
      <c r="N156" s="776"/>
      <c r="O156" s="782">
        <f>'J-2'!$G$26*365/12</f>
        <v>9.9888333333333339</v>
      </c>
      <c r="P156" s="776"/>
      <c r="Q156" s="783">
        <f t="shared" si="43"/>
        <v>0</v>
      </c>
      <c r="R156" s="776"/>
      <c r="S156" s="784">
        <f>'J-2'!$I$26</f>
        <v>3.0999999999999999E-3</v>
      </c>
      <c r="T156" s="776"/>
      <c r="U156" s="785">
        <f t="shared" si="44"/>
        <v>18.227999999999998</v>
      </c>
      <c r="V156" s="776"/>
      <c r="W156" s="783">
        <f t="shared" si="45"/>
        <v>18.227999999999998</v>
      </c>
      <c r="Y156" s="786">
        <v>1.4E-3</v>
      </c>
      <c r="AA156" s="787">
        <f t="shared" si="46"/>
        <v>8.2319999999999993</v>
      </c>
      <c r="AC156" s="764" t="s">
        <v>912</v>
      </c>
    </row>
    <row r="157" spans="1:32">
      <c r="A157" s="763">
        <f t="shared" si="42"/>
        <v>132</v>
      </c>
      <c r="C157" s="775" t="s">
        <v>972</v>
      </c>
      <c r="D157" s="776"/>
      <c r="E157" s="777" t="s">
        <v>912</v>
      </c>
      <c r="F157" s="777"/>
      <c r="G157" s="777" t="s">
        <v>970</v>
      </c>
      <c r="H157" s="776"/>
      <c r="I157" s="778" t="s">
        <v>973</v>
      </c>
      <c r="J157" s="776"/>
      <c r="K157" s="779">
        <v>150</v>
      </c>
      <c r="L157" s="776"/>
      <c r="M157" s="781">
        <v>0</v>
      </c>
      <c r="N157" s="776"/>
      <c r="O157" s="782">
        <f>'J-2'!$G$26*365/12</f>
        <v>9.9888333333333339</v>
      </c>
      <c r="P157" s="776"/>
      <c r="Q157" s="783">
        <f t="shared" si="43"/>
        <v>1498.325</v>
      </c>
      <c r="R157" s="776"/>
      <c r="S157" s="784">
        <f>'J-2'!$I$26</f>
        <v>3.0999999999999999E-3</v>
      </c>
      <c r="T157" s="776"/>
      <c r="U157" s="785">
        <f t="shared" si="44"/>
        <v>0</v>
      </c>
      <c r="V157" s="776"/>
      <c r="W157" s="783">
        <f t="shared" si="45"/>
        <v>1498.325</v>
      </c>
      <c r="Y157" s="786">
        <v>1.4E-3</v>
      </c>
      <c r="AA157" s="787">
        <f t="shared" si="46"/>
        <v>0</v>
      </c>
      <c r="AC157" s="764" t="s">
        <v>912</v>
      </c>
      <c r="AF157" s="797"/>
    </row>
    <row r="158" spans="1:32">
      <c r="A158" s="763">
        <f t="shared" si="42"/>
        <v>133</v>
      </c>
      <c r="C158" s="775" t="s">
        <v>974</v>
      </c>
      <c r="D158" s="776"/>
      <c r="E158" s="777" t="s">
        <v>912</v>
      </c>
      <c r="F158" s="777"/>
      <c r="G158" s="777" t="s">
        <v>970</v>
      </c>
      <c r="H158" s="776"/>
      <c r="I158" s="778" t="s">
        <v>975</v>
      </c>
      <c r="J158" s="776"/>
      <c r="K158" s="779">
        <v>20000</v>
      </c>
      <c r="L158" s="776"/>
      <c r="M158" s="781">
        <v>0</v>
      </c>
      <c r="N158" s="776"/>
      <c r="O158" s="782">
        <f>'J-2'!$G$26*365/12</f>
        <v>9.9888333333333339</v>
      </c>
      <c r="P158" s="776"/>
      <c r="Q158" s="783">
        <f t="shared" si="43"/>
        <v>199776.66666666669</v>
      </c>
      <c r="R158" s="776"/>
      <c r="S158" s="784">
        <f>'J-2'!$I$26</f>
        <v>3.0999999999999999E-3</v>
      </c>
      <c r="T158" s="776"/>
      <c r="U158" s="785">
        <f t="shared" si="44"/>
        <v>0</v>
      </c>
      <c r="V158" s="776"/>
      <c r="W158" s="783">
        <f t="shared" si="45"/>
        <v>199776.66666666669</v>
      </c>
      <c r="Y158" s="786">
        <v>1.4E-3</v>
      </c>
      <c r="AA158" s="787">
        <f t="shared" si="46"/>
        <v>0</v>
      </c>
      <c r="AC158" s="764" t="s">
        <v>912</v>
      </c>
    </row>
    <row r="159" spans="1:32">
      <c r="A159" s="763">
        <f t="shared" si="42"/>
        <v>134</v>
      </c>
      <c r="C159" s="775" t="s">
        <v>969</v>
      </c>
      <c r="D159" s="776"/>
      <c r="E159" s="777" t="s">
        <v>912</v>
      </c>
      <c r="F159" s="777"/>
      <c r="G159" s="777" t="s">
        <v>970</v>
      </c>
      <c r="H159" s="776"/>
      <c r="I159" s="778" t="s">
        <v>971</v>
      </c>
      <c r="J159" s="776"/>
      <c r="K159" s="779">
        <v>500</v>
      </c>
      <c r="L159" s="776"/>
      <c r="M159" s="781">
        <v>0</v>
      </c>
      <c r="N159" s="776"/>
      <c r="O159" s="782">
        <f>'J-2'!$G$26*365/12</f>
        <v>9.9888333333333339</v>
      </c>
      <c r="P159" s="776"/>
      <c r="Q159" s="783">
        <f t="shared" si="43"/>
        <v>4994.416666666667</v>
      </c>
      <c r="R159" s="776"/>
      <c r="S159" s="784">
        <f>'J-2'!$I$26</f>
        <v>3.0999999999999999E-3</v>
      </c>
      <c r="T159" s="776"/>
      <c r="U159" s="785">
        <f t="shared" si="44"/>
        <v>0</v>
      </c>
      <c r="V159" s="776"/>
      <c r="W159" s="783">
        <f t="shared" si="45"/>
        <v>4994.416666666667</v>
      </c>
      <c r="Y159" s="786">
        <v>1.4E-3</v>
      </c>
      <c r="AA159" s="787">
        <f t="shared" si="46"/>
        <v>0</v>
      </c>
      <c r="AC159" s="764" t="s">
        <v>912</v>
      </c>
    </row>
    <row r="160" spans="1:32">
      <c r="A160" s="763">
        <f t="shared" si="42"/>
        <v>135</v>
      </c>
      <c r="C160" s="790" t="s">
        <v>976</v>
      </c>
      <c r="D160" s="776"/>
      <c r="E160" s="777"/>
      <c r="F160" s="777"/>
      <c r="G160" s="777"/>
      <c r="H160" s="776"/>
      <c r="I160" s="777"/>
      <c r="J160" s="776"/>
      <c r="K160" s="801">
        <f>SUM(K152:K159)</f>
        <v>20650</v>
      </c>
      <c r="L160" s="776"/>
      <c r="M160" s="801">
        <f>SUM(M152:M159)</f>
        <v>240956</v>
      </c>
      <c r="N160" s="776"/>
      <c r="O160" s="776"/>
      <c r="P160" s="776"/>
      <c r="Q160" s="793">
        <f>SUM(Q152:Q159)</f>
        <v>206269.40833333335</v>
      </c>
      <c r="R160" s="776"/>
      <c r="S160" s="776"/>
      <c r="T160" s="776"/>
      <c r="U160" s="793">
        <f>SUM(U152:U159)</f>
        <v>746.96359999999993</v>
      </c>
      <c r="V160" s="776"/>
      <c r="W160" s="793">
        <f>SUM(W152:W159)</f>
        <v>207016.37193333334</v>
      </c>
      <c r="AA160" s="793">
        <f>SUM(AA152:AA159)</f>
        <v>337.33839999999998</v>
      </c>
    </row>
    <row r="161" spans="1:29">
      <c r="A161" s="763" t="str">
        <f t="shared" si="42"/>
        <v/>
      </c>
      <c r="C161" s="790" t="s">
        <v>877</v>
      </c>
      <c r="D161" s="776"/>
      <c r="E161" s="777"/>
      <c r="F161" s="777"/>
      <c r="G161" s="777"/>
      <c r="H161" s="776"/>
      <c r="I161" s="777"/>
      <c r="J161" s="776"/>
      <c r="K161" s="794"/>
      <c r="L161" s="776"/>
      <c r="M161" s="780"/>
      <c r="N161" s="776"/>
      <c r="O161" s="776"/>
      <c r="P161" s="776"/>
      <c r="Q161" s="776"/>
      <c r="R161" s="776"/>
      <c r="S161" s="776"/>
      <c r="T161" s="776"/>
      <c r="U161" s="776"/>
      <c r="V161" s="776"/>
      <c r="W161" s="776"/>
    </row>
    <row r="162" spans="1:29">
      <c r="A162" s="763">
        <v>136</v>
      </c>
      <c r="C162" s="775" t="s">
        <v>932</v>
      </c>
      <c r="D162" s="776"/>
      <c r="E162" s="777" t="s">
        <v>912</v>
      </c>
      <c r="F162" s="777"/>
      <c r="G162" s="777" t="s">
        <v>977</v>
      </c>
      <c r="H162" s="776"/>
      <c r="I162" s="778" t="s">
        <v>978</v>
      </c>
      <c r="J162" s="776"/>
      <c r="K162" s="794">
        <v>0</v>
      </c>
      <c r="L162" s="776"/>
      <c r="M162" s="781">
        <v>49828</v>
      </c>
      <c r="N162" s="776"/>
      <c r="O162" s="782">
        <v>0</v>
      </c>
      <c r="P162" s="776"/>
      <c r="Q162" s="783">
        <f>K162*O162</f>
        <v>0</v>
      </c>
      <c r="R162" s="776"/>
      <c r="S162" s="784">
        <f>'J-2'!$K$28</f>
        <v>0.33150000000000002</v>
      </c>
      <c r="T162" s="776"/>
      <c r="U162" s="785">
        <f>S162*M162</f>
        <v>16517.982</v>
      </c>
      <c r="V162" s="776"/>
      <c r="W162" s="783">
        <f>U162+Q162</f>
        <v>16517.982</v>
      </c>
      <c r="Y162" s="786">
        <v>1.4E-3</v>
      </c>
      <c r="AA162" s="787">
        <f>Y162*M162</f>
        <v>69.759199999999993</v>
      </c>
      <c r="AC162" s="764" t="s">
        <v>912</v>
      </c>
    </row>
    <row r="163" spans="1:29">
      <c r="A163" s="763">
        <f t="shared" si="42"/>
        <v>137</v>
      </c>
      <c r="C163" s="790" t="s">
        <v>982</v>
      </c>
      <c r="K163" s="801">
        <f>SUM(K162)</f>
        <v>0</v>
      </c>
      <c r="M163" s="801">
        <f>SUM(M162)</f>
        <v>49828</v>
      </c>
      <c r="Q163" s="793">
        <f>SUM(Q162)</f>
        <v>0</v>
      </c>
      <c r="U163" s="793">
        <f>SUM(U162)</f>
        <v>16517.982</v>
      </c>
      <c r="W163" s="793">
        <f>SUM(W162)</f>
        <v>16517.982</v>
      </c>
      <c r="AA163" s="793">
        <f>SUM(AA162)</f>
        <v>69.759199999999993</v>
      </c>
    </row>
    <row r="164" spans="1:29">
      <c r="A164" s="763" t="str">
        <f t="shared" si="42"/>
        <v/>
      </c>
    </row>
    <row r="165" spans="1:29">
      <c r="A165" s="763" t="str">
        <f t="shared" si="42"/>
        <v/>
      </c>
      <c r="C165" s="768" t="s">
        <v>987</v>
      </c>
      <c r="D165" s="768"/>
      <c r="E165" s="768"/>
      <c r="F165" s="768"/>
      <c r="G165" s="768"/>
      <c r="H165" s="768"/>
      <c r="I165" s="768"/>
      <c r="J165" s="768"/>
      <c r="K165" s="768"/>
      <c r="L165" s="768"/>
      <c r="M165" s="768"/>
      <c r="N165" s="768"/>
      <c r="O165" s="768"/>
      <c r="P165" s="768"/>
      <c r="Q165" s="768"/>
      <c r="R165" s="768"/>
      <c r="S165" s="768"/>
      <c r="T165" s="768"/>
      <c r="U165" s="768"/>
      <c r="V165" s="768"/>
      <c r="W165" s="768"/>
      <c r="X165" s="768"/>
      <c r="Y165" s="768"/>
      <c r="Z165" s="768"/>
      <c r="AA165" s="768"/>
      <c r="AB165" s="768"/>
      <c r="AC165" s="768"/>
    </row>
    <row r="166" spans="1:29" s="769" customFormat="1">
      <c r="A166" s="763" t="str">
        <f t="shared" si="42"/>
        <v/>
      </c>
      <c r="C166" s="770" t="s">
        <v>876</v>
      </c>
      <c r="D166" s="771"/>
      <c r="E166" s="772"/>
      <c r="F166" s="772"/>
      <c r="G166" s="772"/>
      <c r="H166" s="771"/>
      <c r="I166" s="772"/>
      <c r="J166" s="771"/>
      <c r="K166" s="773"/>
      <c r="L166" s="771"/>
      <c r="M166" s="774"/>
      <c r="N166" s="771"/>
      <c r="O166" s="771"/>
      <c r="P166" s="771"/>
      <c r="Q166" s="771"/>
      <c r="R166" s="771"/>
      <c r="S166" s="771"/>
      <c r="T166" s="771"/>
      <c r="U166" s="771"/>
      <c r="V166" s="771"/>
      <c r="W166" s="771"/>
      <c r="X166" s="771"/>
      <c r="Y166" s="771"/>
      <c r="Z166" s="771"/>
      <c r="AA166" s="771"/>
      <c r="AB166" s="771"/>
      <c r="AC166" s="771"/>
    </row>
    <row r="167" spans="1:29">
      <c r="A167" s="763">
        <v>138</v>
      </c>
      <c r="C167" s="775" t="s">
        <v>911</v>
      </c>
      <c r="D167" s="776"/>
      <c r="E167" s="777" t="s">
        <v>912</v>
      </c>
      <c r="F167" s="777"/>
      <c r="G167" s="777" t="s">
        <v>913</v>
      </c>
      <c r="H167" s="776"/>
      <c r="I167" s="778" t="s">
        <v>914</v>
      </c>
      <c r="J167" s="776"/>
      <c r="K167" s="781">
        <v>105750</v>
      </c>
      <c r="L167" s="780"/>
      <c r="M167" s="781">
        <v>1566482</v>
      </c>
      <c r="N167" s="776"/>
      <c r="O167" s="782">
        <f>'J-2'!$G$26*365/12</f>
        <v>9.9888333333333339</v>
      </c>
      <c r="P167" s="776"/>
      <c r="Q167" s="783">
        <f t="shared" ref="Q167:Q187" si="47">K167*O167</f>
        <v>1056319.125</v>
      </c>
      <c r="R167" s="776"/>
      <c r="S167" s="784">
        <f>'J-2'!$I$26</f>
        <v>3.0999999999999999E-3</v>
      </c>
      <c r="T167" s="776"/>
      <c r="U167" s="785">
        <f t="shared" ref="U167:U187" si="48">S167*M167</f>
        <v>4856.0941999999995</v>
      </c>
      <c r="V167" s="776"/>
      <c r="W167" s="783">
        <f t="shared" ref="W167:W187" si="49">U167+Q167</f>
        <v>1061175.2191999999</v>
      </c>
      <c r="Y167" s="786">
        <v>1.4E-3</v>
      </c>
      <c r="AA167" s="787">
        <f t="shared" ref="AA167:AA187" si="50">Y167*M167</f>
        <v>2193.0747999999999</v>
      </c>
      <c r="AC167" s="764" t="s">
        <v>912</v>
      </c>
    </row>
    <row r="168" spans="1:29">
      <c r="A168" s="763">
        <f t="shared" si="42"/>
        <v>139</v>
      </c>
      <c r="C168" s="775" t="s">
        <v>915</v>
      </c>
      <c r="D168" s="776"/>
      <c r="E168" s="777" t="s">
        <v>912</v>
      </c>
      <c r="F168" s="777"/>
      <c r="G168" s="777" t="s">
        <v>913</v>
      </c>
      <c r="H168" s="776"/>
      <c r="I168" s="778" t="s">
        <v>916</v>
      </c>
      <c r="J168" s="776"/>
      <c r="K168" s="781">
        <v>200</v>
      </c>
      <c r="L168" s="780"/>
      <c r="M168" s="781">
        <v>900</v>
      </c>
      <c r="N168" s="776"/>
      <c r="O168" s="782">
        <f>'J-2'!$G$26*365/12</f>
        <v>9.9888333333333339</v>
      </c>
      <c r="P168" s="776"/>
      <c r="Q168" s="783">
        <f t="shared" si="47"/>
        <v>1997.7666666666669</v>
      </c>
      <c r="R168" s="776"/>
      <c r="S168" s="784">
        <f>'J-2'!$I$26</f>
        <v>3.0999999999999999E-3</v>
      </c>
      <c r="T168" s="776"/>
      <c r="U168" s="785">
        <f t="shared" si="48"/>
        <v>2.79</v>
      </c>
      <c r="V168" s="776"/>
      <c r="W168" s="783">
        <f t="shared" si="49"/>
        <v>2000.5566666666668</v>
      </c>
      <c r="Y168" s="786">
        <v>1.4E-3</v>
      </c>
      <c r="AA168" s="787">
        <f t="shared" si="50"/>
        <v>1.26</v>
      </c>
      <c r="AC168" s="764" t="s">
        <v>912</v>
      </c>
    </row>
    <row r="169" spans="1:29">
      <c r="A169" s="763">
        <f t="shared" si="42"/>
        <v>140</v>
      </c>
      <c r="C169" s="775" t="s">
        <v>917</v>
      </c>
      <c r="D169" s="776"/>
      <c r="E169" s="777" t="s">
        <v>912</v>
      </c>
      <c r="F169" s="777"/>
      <c r="G169" s="777" t="s">
        <v>913</v>
      </c>
      <c r="H169" s="776"/>
      <c r="I169" s="778" t="s">
        <v>918</v>
      </c>
      <c r="J169" s="776"/>
      <c r="K169" s="781">
        <v>1200</v>
      </c>
      <c r="L169" s="780"/>
      <c r="M169" s="781">
        <v>1599</v>
      </c>
      <c r="N169" s="776"/>
      <c r="O169" s="782">
        <f>'J-2'!$G$26*365/12</f>
        <v>9.9888333333333339</v>
      </c>
      <c r="P169" s="776"/>
      <c r="Q169" s="783">
        <f t="shared" si="47"/>
        <v>11986.6</v>
      </c>
      <c r="R169" s="776"/>
      <c r="S169" s="784">
        <f>'J-2'!$I$26</f>
        <v>3.0999999999999999E-3</v>
      </c>
      <c r="T169" s="776"/>
      <c r="U169" s="785">
        <f t="shared" si="48"/>
        <v>4.9569000000000001</v>
      </c>
      <c r="V169" s="776"/>
      <c r="W169" s="783">
        <f t="shared" si="49"/>
        <v>11991.5569</v>
      </c>
      <c r="Y169" s="786">
        <v>1.4E-3</v>
      </c>
      <c r="AA169" s="787">
        <f t="shared" si="50"/>
        <v>2.2385999999999999</v>
      </c>
      <c r="AC169" s="764" t="s">
        <v>912</v>
      </c>
    </row>
    <row r="170" spans="1:29">
      <c r="A170" s="763">
        <f t="shared" si="42"/>
        <v>141</v>
      </c>
      <c r="C170" s="775" t="s">
        <v>919</v>
      </c>
      <c r="D170" s="776"/>
      <c r="E170" s="777" t="s">
        <v>912</v>
      </c>
      <c r="F170" s="777"/>
      <c r="G170" s="777" t="s">
        <v>913</v>
      </c>
      <c r="H170" s="776"/>
      <c r="I170" s="778" t="s">
        <v>920</v>
      </c>
      <c r="J170" s="776"/>
      <c r="K170" s="781">
        <v>1550</v>
      </c>
      <c r="L170" s="780"/>
      <c r="M170" s="781">
        <v>0</v>
      </c>
      <c r="N170" s="776"/>
      <c r="O170" s="782">
        <f>'J-2'!$G$26*365/12</f>
        <v>9.9888333333333339</v>
      </c>
      <c r="P170" s="776"/>
      <c r="Q170" s="783">
        <f t="shared" si="47"/>
        <v>15482.691666666668</v>
      </c>
      <c r="R170" s="776"/>
      <c r="S170" s="784">
        <f>'J-2'!$I$26</f>
        <v>3.0999999999999999E-3</v>
      </c>
      <c r="T170" s="776"/>
      <c r="U170" s="785">
        <f t="shared" si="48"/>
        <v>0</v>
      </c>
      <c r="V170" s="776"/>
      <c r="W170" s="783">
        <f t="shared" si="49"/>
        <v>15482.691666666668</v>
      </c>
      <c r="Y170" s="786">
        <v>1.4E-3</v>
      </c>
      <c r="AA170" s="787">
        <f t="shared" si="50"/>
        <v>0</v>
      </c>
      <c r="AC170" s="764" t="s">
        <v>912</v>
      </c>
    </row>
    <row r="171" spans="1:29">
      <c r="A171" s="763">
        <f t="shared" si="42"/>
        <v>142</v>
      </c>
      <c r="C171" s="775" t="s">
        <v>911</v>
      </c>
      <c r="D171" s="776"/>
      <c r="E171" s="777" t="s">
        <v>912</v>
      </c>
      <c r="F171" s="777"/>
      <c r="G171" s="777" t="s">
        <v>913</v>
      </c>
      <c r="H171" s="776"/>
      <c r="I171" s="778" t="s">
        <v>921</v>
      </c>
      <c r="J171" s="776"/>
      <c r="K171" s="781">
        <v>10000</v>
      </c>
      <c r="L171" s="780"/>
      <c r="M171" s="781">
        <v>310000</v>
      </c>
      <c r="N171" s="776"/>
      <c r="O171" s="782">
        <f>'J-2'!$G$26*365/12</f>
        <v>9.9888333333333339</v>
      </c>
      <c r="P171" s="776"/>
      <c r="Q171" s="783">
        <f t="shared" si="47"/>
        <v>99888.333333333343</v>
      </c>
      <c r="R171" s="776"/>
      <c r="S171" s="784">
        <f>'J-2'!$I$26</f>
        <v>3.0999999999999999E-3</v>
      </c>
      <c r="T171" s="776"/>
      <c r="U171" s="785">
        <f t="shared" si="48"/>
        <v>961</v>
      </c>
      <c r="V171" s="776"/>
      <c r="W171" s="783">
        <f t="shared" si="49"/>
        <v>100849.33333333334</v>
      </c>
      <c r="Y171" s="786">
        <v>1.4E-3</v>
      </c>
      <c r="AA171" s="787">
        <f t="shared" si="50"/>
        <v>434</v>
      </c>
      <c r="AC171" s="764" t="s">
        <v>912</v>
      </c>
    </row>
    <row r="172" spans="1:29">
      <c r="A172" s="763">
        <f t="shared" si="42"/>
        <v>143</v>
      </c>
      <c r="C172" s="775" t="s">
        <v>922</v>
      </c>
      <c r="D172" s="776"/>
      <c r="E172" s="777" t="s">
        <v>912</v>
      </c>
      <c r="F172" s="777"/>
      <c r="G172" s="777" t="s">
        <v>913</v>
      </c>
      <c r="H172" s="776"/>
      <c r="I172" s="778" t="s">
        <v>923</v>
      </c>
      <c r="J172" s="776"/>
      <c r="K172" s="781">
        <v>200</v>
      </c>
      <c r="L172" s="780"/>
      <c r="M172" s="781">
        <v>0</v>
      </c>
      <c r="N172" s="776"/>
      <c r="O172" s="782">
        <f>'J-2'!$G$26*365/12</f>
        <v>9.9888333333333339</v>
      </c>
      <c r="P172" s="776"/>
      <c r="Q172" s="783">
        <f t="shared" si="47"/>
        <v>1997.7666666666669</v>
      </c>
      <c r="R172" s="776"/>
      <c r="S172" s="784">
        <f>'J-2'!$I$26</f>
        <v>3.0999999999999999E-3</v>
      </c>
      <c r="T172" s="776"/>
      <c r="U172" s="785">
        <f t="shared" si="48"/>
        <v>0</v>
      </c>
      <c r="V172" s="776"/>
      <c r="W172" s="783">
        <f t="shared" si="49"/>
        <v>1997.7666666666669</v>
      </c>
      <c r="Y172" s="786">
        <v>1.4E-3</v>
      </c>
      <c r="AA172" s="787">
        <f t="shared" si="50"/>
        <v>0</v>
      </c>
      <c r="AC172" s="764" t="s">
        <v>912</v>
      </c>
    </row>
    <row r="173" spans="1:29">
      <c r="A173" s="763">
        <f t="shared" si="42"/>
        <v>144</v>
      </c>
      <c r="C173" s="775" t="s">
        <v>924</v>
      </c>
      <c r="D173" s="776"/>
      <c r="E173" s="777" t="s">
        <v>912</v>
      </c>
      <c r="F173" s="777"/>
      <c r="G173" s="777" t="s">
        <v>913</v>
      </c>
      <c r="H173" s="776"/>
      <c r="I173" s="778" t="s">
        <v>925</v>
      </c>
      <c r="J173" s="776"/>
      <c r="K173" s="781">
        <v>550</v>
      </c>
      <c r="L173" s="780"/>
      <c r="M173" s="781">
        <v>15763</v>
      </c>
      <c r="N173" s="776"/>
      <c r="O173" s="782">
        <f>'J-2'!$G$26*365/12</f>
        <v>9.9888333333333339</v>
      </c>
      <c r="P173" s="776"/>
      <c r="Q173" s="783">
        <f t="shared" si="47"/>
        <v>5493.8583333333336</v>
      </c>
      <c r="R173" s="776"/>
      <c r="S173" s="784">
        <f>'J-2'!$I$26</f>
        <v>3.0999999999999999E-3</v>
      </c>
      <c r="T173" s="776"/>
      <c r="U173" s="785">
        <f t="shared" si="48"/>
        <v>48.865299999999998</v>
      </c>
      <c r="V173" s="776"/>
      <c r="W173" s="783">
        <f t="shared" si="49"/>
        <v>5542.723633333334</v>
      </c>
      <c r="Y173" s="786">
        <v>1.4E-3</v>
      </c>
      <c r="AA173" s="787">
        <f t="shared" si="50"/>
        <v>22.068200000000001</v>
      </c>
      <c r="AC173" s="764" t="s">
        <v>912</v>
      </c>
    </row>
    <row r="174" spans="1:29">
      <c r="A174" s="763">
        <f t="shared" si="42"/>
        <v>145</v>
      </c>
      <c r="C174" s="775" t="s">
        <v>911</v>
      </c>
      <c r="D174" s="776"/>
      <c r="E174" s="777" t="s">
        <v>912</v>
      </c>
      <c r="F174" s="777"/>
      <c r="G174" s="777" t="s">
        <v>913</v>
      </c>
      <c r="H174" s="776"/>
      <c r="I174" s="778" t="s">
        <v>926</v>
      </c>
      <c r="J174" s="776"/>
      <c r="K174" s="781">
        <v>5661</v>
      </c>
      <c r="L174" s="780"/>
      <c r="M174" s="781">
        <v>175491</v>
      </c>
      <c r="N174" s="776"/>
      <c r="O174" s="782">
        <f>'J-2'!$G$26*365/12</f>
        <v>9.9888333333333339</v>
      </c>
      <c r="P174" s="776"/>
      <c r="Q174" s="783">
        <f t="shared" si="47"/>
        <v>56546.785500000005</v>
      </c>
      <c r="R174" s="776"/>
      <c r="S174" s="784">
        <f>'J-2'!$I$26</f>
        <v>3.0999999999999999E-3</v>
      </c>
      <c r="T174" s="776"/>
      <c r="U174" s="785">
        <f t="shared" si="48"/>
        <v>544.02210000000002</v>
      </c>
      <c r="V174" s="776"/>
      <c r="W174" s="783">
        <f t="shared" si="49"/>
        <v>57090.807600000007</v>
      </c>
      <c r="Y174" s="786">
        <v>1.4E-3</v>
      </c>
      <c r="AA174" s="787">
        <f t="shared" si="50"/>
        <v>245.6874</v>
      </c>
      <c r="AC174" s="764" t="s">
        <v>912</v>
      </c>
    </row>
    <row r="175" spans="1:29">
      <c r="A175" s="763">
        <f t="shared" si="42"/>
        <v>146</v>
      </c>
      <c r="C175" s="775" t="s">
        <v>911</v>
      </c>
      <c r="D175" s="776"/>
      <c r="E175" s="777" t="s">
        <v>912</v>
      </c>
      <c r="F175" s="777"/>
      <c r="G175" s="777" t="s">
        <v>913</v>
      </c>
      <c r="H175" s="776"/>
      <c r="I175" s="778" t="s">
        <v>927</v>
      </c>
      <c r="J175" s="776"/>
      <c r="K175" s="781">
        <v>5690</v>
      </c>
      <c r="L175" s="780"/>
      <c r="M175" s="781">
        <v>176390</v>
      </c>
      <c r="N175" s="776"/>
      <c r="O175" s="782">
        <f>'J-2'!$G$26*365/12</f>
        <v>9.9888333333333339</v>
      </c>
      <c r="P175" s="776"/>
      <c r="Q175" s="783">
        <f t="shared" si="47"/>
        <v>56836.46166666667</v>
      </c>
      <c r="R175" s="776"/>
      <c r="S175" s="784">
        <f>'J-2'!$I$26</f>
        <v>3.0999999999999999E-3</v>
      </c>
      <c r="T175" s="776"/>
      <c r="U175" s="785">
        <f t="shared" si="48"/>
        <v>546.80899999999997</v>
      </c>
      <c r="V175" s="776"/>
      <c r="W175" s="783">
        <f t="shared" si="49"/>
        <v>57383.270666666671</v>
      </c>
      <c r="Y175" s="786">
        <v>1.4E-3</v>
      </c>
      <c r="AA175" s="787">
        <f t="shared" si="50"/>
        <v>246.946</v>
      </c>
      <c r="AC175" s="764" t="s">
        <v>912</v>
      </c>
    </row>
    <row r="176" spans="1:29">
      <c r="A176" s="763">
        <f t="shared" si="42"/>
        <v>147</v>
      </c>
      <c r="C176" s="775" t="s">
        <v>928</v>
      </c>
      <c r="D176" s="776"/>
      <c r="E176" s="777" t="s">
        <v>912</v>
      </c>
      <c r="F176" s="777"/>
      <c r="G176" s="777" t="s">
        <v>913</v>
      </c>
      <c r="H176" s="776"/>
      <c r="I176" s="778" t="s">
        <v>929</v>
      </c>
      <c r="J176" s="776"/>
      <c r="K176" s="781">
        <v>8000</v>
      </c>
      <c r="L176" s="780"/>
      <c r="M176" s="781">
        <v>0</v>
      </c>
      <c r="N176" s="776"/>
      <c r="O176" s="782">
        <f>'J-2'!$G$26*365/12</f>
        <v>9.9888333333333339</v>
      </c>
      <c r="P176" s="776"/>
      <c r="Q176" s="783">
        <f t="shared" si="47"/>
        <v>79910.666666666672</v>
      </c>
      <c r="R176" s="776"/>
      <c r="S176" s="784">
        <f>'J-2'!$I$26</f>
        <v>3.0999999999999999E-3</v>
      </c>
      <c r="T176" s="776"/>
      <c r="U176" s="785">
        <f t="shared" si="48"/>
        <v>0</v>
      </c>
      <c r="V176" s="776"/>
      <c r="W176" s="783">
        <f t="shared" si="49"/>
        <v>79910.666666666672</v>
      </c>
      <c r="Y176" s="786">
        <v>1.4E-3</v>
      </c>
      <c r="AA176" s="787">
        <f t="shared" si="50"/>
        <v>0</v>
      </c>
      <c r="AC176" s="764" t="s">
        <v>912</v>
      </c>
    </row>
    <row r="177" spans="1:29">
      <c r="A177" s="763">
        <f t="shared" si="42"/>
        <v>148</v>
      </c>
      <c r="C177" s="775" t="s">
        <v>928</v>
      </c>
      <c r="D177" s="776"/>
      <c r="E177" s="777" t="s">
        <v>912</v>
      </c>
      <c r="F177" s="777"/>
      <c r="G177" s="777" t="s">
        <v>913</v>
      </c>
      <c r="H177" s="776"/>
      <c r="I177" s="778" t="s">
        <v>930</v>
      </c>
      <c r="J177" s="776"/>
      <c r="K177" s="781">
        <v>16500</v>
      </c>
      <c r="L177" s="780"/>
      <c r="M177" s="781">
        <v>0</v>
      </c>
      <c r="N177" s="776"/>
      <c r="O177" s="782">
        <f>'J-2'!$G$26*365/12</f>
        <v>9.9888333333333339</v>
      </c>
      <c r="P177" s="776"/>
      <c r="Q177" s="783">
        <f t="shared" si="47"/>
        <v>164815.75</v>
      </c>
      <c r="R177" s="776"/>
      <c r="S177" s="784">
        <f>'J-2'!$I$26</f>
        <v>3.0999999999999999E-3</v>
      </c>
      <c r="T177" s="776"/>
      <c r="U177" s="785">
        <f t="shared" si="48"/>
        <v>0</v>
      </c>
      <c r="V177" s="776"/>
      <c r="W177" s="783">
        <f t="shared" si="49"/>
        <v>164815.75</v>
      </c>
      <c r="Y177" s="786">
        <v>1.4E-3</v>
      </c>
      <c r="AA177" s="787">
        <f t="shared" si="50"/>
        <v>0</v>
      </c>
      <c r="AC177" s="764" t="s">
        <v>912</v>
      </c>
    </row>
    <row r="178" spans="1:29">
      <c r="A178" s="763">
        <f t="shared" si="42"/>
        <v>149</v>
      </c>
      <c r="C178" s="775" t="s">
        <v>928</v>
      </c>
      <c r="D178" s="776"/>
      <c r="E178" s="777" t="s">
        <v>912</v>
      </c>
      <c r="F178" s="777"/>
      <c r="G178" s="777" t="s">
        <v>913</v>
      </c>
      <c r="H178" s="776"/>
      <c r="I178" s="778" t="s">
        <v>1021</v>
      </c>
      <c r="J178" s="776"/>
      <c r="K178" s="779">
        <v>5951</v>
      </c>
      <c r="L178" s="780"/>
      <c r="M178" s="789">
        <f>K178*365/12*'G-1 '!$M$504</f>
        <v>0</v>
      </c>
      <c r="N178" s="776"/>
      <c r="O178" s="782">
        <f>'J-2'!$G$26*365/12</f>
        <v>9.9888333333333339</v>
      </c>
      <c r="P178" s="776"/>
      <c r="Q178" s="783">
        <f t="shared" si="47"/>
        <v>59443.547166666671</v>
      </c>
      <c r="R178" s="776"/>
      <c r="S178" s="784">
        <f>'J-2'!$I$26</f>
        <v>3.0999999999999999E-3</v>
      </c>
      <c r="T178" s="776"/>
      <c r="U178" s="785">
        <f t="shared" si="48"/>
        <v>0</v>
      </c>
      <c r="V178" s="776"/>
      <c r="W178" s="783">
        <f t="shared" si="49"/>
        <v>59443.547166666671</v>
      </c>
      <c r="Y178" s="786">
        <v>1.4E-3</v>
      </c>
      <c r="AA178" s="787">
        <f t="shared" si="50"/>
        <v>0</v>
      </c>
      <c r="AC178" s="764" t="s">
        <v>912</v>
      </c>
    </row>
    <row r="179" spans="1:29">
      <c r="A179" s="763">
        <f t="shared" si="42"/>
        <v>150</v>
      </c>
      <c r="C179" s="775" t="s">
        <v>911</v>
      </c>
      <c r="D179" s="776"/>
      <c r="E179" s="777" t="s">
        <v>912</v>
      </c>
      <c r="F179" s="777"/>
      <c r="G179" s="777" t="s">
        <v>913</v>
      </c>
      <c r="H179" s="776"/>
      <c r="I179" s="778" t="s">
        <v>931</v>
      </c>
      <c r="J179" s="776"/>
      <c r="K179" s="781">
        <v>5722</v>
      </c>
      <c r="L179" s="780"/>
      <c r="M179" s="781">
        <v>177382</v>
      </c>
      <c r="N179" s="776"/>
      <c r="O179" s="782">
        <f>'J-2'!$G$26*365/12</f>
        <v>9.9888333333333339</v>
      </c>
      <c r="P179" s="776"/>
      <c r="Q179" s="783">
        <f t="shared" si="47"/>
        <v>57156.104333333336</v>
      </c>
      <c r="R179" s="776"/>
      <c r="S179" s="784">
        <f>'J-2'!$I$26</f>
        <v>3.0999999999999999E-3</v>
      </c>
      <c r="T179" s="776"/>
      <c r="U179" s="785">
        <f t="shared" si="48"/>
        <v>549.88419999999996</v>
      </c>
      <c r="V179" s="776"/>
      <c r="W179" s="783">
        <f t="shared" si="49"/>
        <v>57705.988533333337</v>
      </c>
      <c r="Y179" s="786">
        <v>1.4E-3</v>
      </c>
      <c r="AA179" s="787">
        <f t="shared" si="50"/>
        <v>248.3348</v>
      </c>
      <c r="AC179" s="764" t="s">
        <v>912</v>
      </c>
    </row>
    <row r="180" spans="1:29">
      <c r="A180" s="763">
        <f t="shared" si="42"/>
        <v>151</v>
      </c>
      <c r="C180" s="775" t="s">
        <v>932</v>
      </c>
      <c r="D180" s="776"/>
      <c r="E180" s="777" t="s">
        <v>912</v>
      </c>
      <c r="F180" s="777"/>
      <c r="G180" s="777" t="s">
        <v>913</v>
      </c>
      <c r="H180" s="776"/>
      <c r="I180" s="778" t="s">
        <v>933</v>
      </c>
      <c r="J180" s="776"/>
      <c r="K180" s="781">
        <v>760</v>
      </c>
      <c r="L180" s="780"/>
      <c r="M180" s="781">
        <v>23560</v>
      </c>
      <c r="N180" s="776"/>
      <c r="O180" s="782">
        <f>'J-2'!$G$26*365/12</f>
        <v>9.9888333333333339</v>
      </c>
      <c r="P180" s="776"/>
      <c r="Q180" s="783">
        <f t="shared" si="47"/>
        <v>7591.5133333333333</v>
      </c>
      <c r="R180" s="776"/>
      <c r="S180" s="784">
        <f>'J-2'!$I$26</f>
        <v>3.0999999999999999E-3</v>
      </c>
      <c r="T180" s="776"/>
      <c r="U180" s="785">
        <f t="shared" si="48"/>
        <v>73.036000000000001</v>
      </c>
      <c r="V180" s="776"/>
      <c r="W180" s="783">
        <f t="shared" si="49"/>
        <v>7664.5493333333334</v>
      </c>
      <c r="Y180" s="786">
        <v>1.4E-3</v>
      </c>
      <c r="AA180" s="787">
        <f t="shared" si="50"/>
        <v>32.984000000000002</v>
      </c>
      <c r="AC180" s="764" t="s">
        <v>912</v>
      </c>
    </row>
    <row r="181" spans="1:29">
      <c r="A181" s="763">
        <f t="shared" si="42"/>
        <v>152</v>
      </c>
      <c r="C181" s="775" t="s">
        <v>922</v>
      </c>
      <c r="D181" s="776"/>
      <c r="E181" s="777" t="s">
        <v>912</v>
      </c>
      <c r="F181" s="777"/>
      <c r="G181" s="777" t="s">
        <v>913</v>
      </c>
      <c r="H181" s="776"/>
      <c r="I181" s="778" t="s">
        <v>934</v>
      </c>
      <c r="J181" s="776"/>
      <c r="K181" s="781">
        <v>150</v>
      </c>
      <c r="L181" s="780"/>
      <c r="M181" s="781">
        <v>0</v>
      </c>
      <c r="N181" s="776"/>
      <c r="O181" s="782">
        <f>'J-2'!$G$26*365/12</f>
        <v>9.9888333333333339</v>
      </c>
      <c r="P181" s="776"/>
      <c r="Q181" s="783">
        <f t="shared" si="47"/>
        <v>1498.325</v>
      </c>
      <c r="R181" s="776"/>
      <c r="S181" s="784">
        <f>'J-2'!$I$26</f>
        <v>3.0999999999999999E-3</v>
      </c>
      <c r="T181" s="776"/>
      <c r="U181" s="785">
        <f t="shared" si="48"/>
        <v>0</v>
      </c>
      <c r="V181" s="776"/>
      <c r="W181" s="783">
        <f t="shared" si="49"/>
        <v>1498.325</v>
      </c>
      <c r="Y181" s="786">
        <v>1.4E-3</v>
      </c>
      <c r="AA181" s="787">
        <f t="shared" si="50"/>
        <v>0</v>
      </c>
      <c r="AC181" s="764" t="s">
        <v>912</v>
      </c>
    </row>
    <row r="182" spans="1:29">
      <c r="A182" s="763">
        <f t="shared" si="42"/>
        <v>153</v>
      </c>
      <c r="C182" s="775" t="s">
        <v>922</v>
      </c>
      <c r="D182" s="776"/>
      <c r="E182" s="777" t="s">
        <v>912</v>
      </c>
      <c r="F182" s="777"/>
      <c r="G182" s="777" t="s">
        <v>913</v>
      </c>
      <c r="H182" s="776"/>
      <c r="I182" s="778" t="s">
        <v>935</v>
      </c>
      <c r="J182" s="776"/>
      <c r="K182" s="781">
        <v>250</v>
      </c>
      <c r="L182" s="780"/>
      <c r="M182" s="781">
        <v>0</v>
      </c>
      <c r="N182" s="776"/>
      <c r="O182" s="782">
        <f>'J-2'!$G$26*365/12</f>
        <v>9.9888333333333339</v>
      </c>
      <c r="P182" s="776"/>
      <c r="Q182" s="783">
        <f t="shared" si="47"/>
        <v>2497.2083333333335</v>
      </c>
      <c r="R182" s="776"/>
      <c r="S182" s="784">
        <f>'J-2'!$I$26</f>
        <v>3.0999999999999999E-3</v>
      </c>
      <c r="T182" s="776"/>
      <c r="U182" s="785">
        <f t="shared" si="48"/>
        <v>0</v>
      </c>
      <c r="V182" s="776"/>
      <c r="W182" s="783">
        <f t="shared" si="49"/>
        <v>2497.2083333333335</v>
      </c>
      <c r="Y182" s="786">
        <v>1.4E-3</v>
      </c>
      <c r="AA182" s="787">
        <f t="shared" si="50"/>
        <v>0</v>
      </c>
      <c r="AC182" s="764" t="s">
        <v>912</v>
      </c>
    </row>
    <row r="183" spans="1:29">
      <c r="A183" s="763">
        <f t="shared" si="42"/>
        <v>154</v>
      </c>
      <c r="C183" s="775" t="s">
        <v>922</v>
      </c>
      <c r="D183" s="776"/>
      <c r="E183" s="777" t="s">
        <v>912</v>
      </c>
      <c r="F183" s="777"/>
      <c r="G183" s="777" t="s">
        <v>913</v>
      </c>
      <c r="H183" s="776"/>
      <c r="I183" s="778" t="s">
        <v>936</v>
      </c>
      <c r="J183" s="776"/>
      <c r="K183" s="781">
        <v>400</v>
      </c>
      <c r="L183" s="780"/>
      <c r="M183" s="781">
        <v>11470</v>
      </c>
      <c r="N183" s="776"/>
      <c r="O183" s="782">
        <f>'J-2'!$G$26*365/12</f>
        <v>9.9888333333333339</v>
      </c>
      <c r="P183" s="776"/>
      <c r="Q183" s="783">
        <f t="shared" si="47"/>
        <v>3995.5333333333338</v>
      </c>
      <c r="R183" s="776"/>
      <c r="S183" s="784">
        <f>'J-2'!$I$26</f>
        <v>3.0999999999999999E-3</v>
      </c>
      <c r="T183" s="776"/>
      <c r="U183" s="785">
        <f t="shared" si="48"/>
        <v>35.557000000000002</v>
      </c>
      <c r="V183" s="776"/>
      <c r="W183" s="783">
        <f t="shared" si="49"/>
        <v>4031.0903333333335</v>
      </c>
      <c r="Y183" s="786">
        <v>1.4E-3</v>
      </c>
      <c r="AA183" s="787">
        <f t="shared" si="50"/>
        <v>16.058</v>
      </c>
      <c r="AC183" s="764" t="s">
        <v>912</v>
      </c>
    </row>
    <row r="184" spans="1:29">
      <c r="A184" s="763">
        <f t="shared" si="42"/>
        <v>155</v>
      </c>
      <c r="C184" s="775" t="s">
        <v>911</v>
      </c>
      <c r="D184" s="776"/>
      <c r="E184" s="777" t="s">
        <v>912</v>
      </c>
      <c r="F184" s="777"/>
      <c r="G184" s="777" t="s">
        <v>913</v>
      </c>
      <c r="H184" s="776"/>
      <c r="I184" s="778" t="s">
        <v>937</v>
      </c>
      <c r="J184" s="776"/>
      <c r="K184" s="781">
        <v>40000</v>
      </c>
      <c r="L184" s="780"/>
      <c r="M184" s="781">
        <v>155000</v>
      </c>
      <c r="N184" s="776"/>
      <c r="O184" s="782">
        <f>'J-2'!$G$26*365/12</f>
        <v>9.9888333333333339</v>
      </c>
      <c r="P184" s="776"/>
      <c r="Q184" s="783">
        <f t="shared" si="47"/>
        <v>399553.33333333337</v>
      </c>
      <c r="R184" s="776"/>
      <c r="S184" s="784">
        <f>'J-2'!$I$26</f>
        <v>3.0999999999999999E-3</v>
      </c>
      <c r="T184" s="776"/>
      <c r="U184" s="785">
        <f t="shared" si="48"/>
        <v>480.5</v>
      </c>
      <c r="V184" s="776"/>
      <c r="W184" s="783">
        <f t="shared" si="49"/>
        <v>400033.83333333337</v>
      </c>
      <c r="Y184" s="786">
        <v>1.4E-3</v>
      </c>
      <c r="AA184" s="787">
        <f t="shared" si="50"/>
        <v>217</v>
      </c>
      <c r="AC184" s="764" t="s">
        <v>912</v>
      </c>
    </row>
    <row r="185" spans="1:29">
      <c r="A185" s="763">
        <f t="shared" si="42"/>
        <v>156</v>
      </c>
      <c r="C185" s="775" t="s">
        <v>938</v>
      </c>
      <c r="D185" s="776"/>
      <c r="E185" s="777" t="s">
        <v>912</v>
      </c>
      <c r="F185" s="777"/>
      <c r="G185" s="777" t="s">
        <v>913</v>
      </c>
      <c r="H185" s="776"/>
      <c r="I185" s="778" t="s">
        <v>939</v>
      </c>
      <c r="J185" s="776"/>
      <c r="K185" s="781">
        <v>800</v>
      </c>
      <c r="L185" s="780"/>
      <c r="M185" s="781">
        <v>18521</v>
      </c>
      <c r="N185" s="776"/>
      <c r="O185" s="782">
        <f>'J-2'!$G$26*365/12</f>
        <v>9.9888333333333339</v>
      </c>
      <c r="P185" s="776"/>
      <c r="Q185" s="783">
        <f t="shared" si="47"/>
        <v>7991.0666666666675</v>
      </c>
      <c r="R185" s="776"/>
      <c r="S185" s="784">
        <f>'J-2'!$I$26</f>
        <v>3.0999999999999999E-3</v>
      </c>
      <c r="T185" s="776"/>
      <c r="U185" s="785">
        <f t="shared" si="48"/>
        <v>57.415099999999995</v>
      </c>
      <c r="V185" s="776"/>
      <c r="W185" s="783">
        <f t="shared" si="49"/>
        <v>8048.4817666666677</v>
      </c>
      <c r="Y185" s="786">
        <v>1.4E-3</v>
      </c>
      <c r="AA185" s="787">
        <f t="shared" si="50"/>
        <v>25.929400000000001</v>
      </c>
      <c r="AC185" s="764" t="s">
        <v>912</v>
      </c>
    </row>
    <row r="186" spans="1:29">
      <c r="A186" s="763">
        <f t="shared" si="42"/>
        <v>157</v>
      </c>
      <c r="C186" s="775" t="s">
        <v>938</v>
      </c>
      <c r="D186" s="776"/>
      <c r="E186" s="777" t="s">
        <v>912</v>
      </c>
      <c r="F186" s="777"/>
      <c r="G186" s="777" t="s">
        <v>913</v>
      </c>
      <c r="H186" s="776"/>
      <c r="I186" s="778" t="s">
        <v>940</v>
      </c>
      <c r="J186" s="776"/>
      <c r="K186" s="781">
        <v>200</v>
      </c>
      <c r="L186" s="780"/>
      <c r="M186" s="781">
        <v>1176</v>
      </c>
      <c r="N186" s="776"/>
      <c r="O186" s="782">
        <f>'J-2'!$G$26*365/12</f>
        <v>9.9888333333333339</v>
      </c>
      <c r="P186" s="776"/>
      <c r="Q186" s="783">
        <f t="shared" si="47"/>
        <v>1997.7666666666669</v>
      </c>
      <c r="R186" s="776"/>
      <c r="S186" s="784">
        <f>'J-2'!$I$26</f>
        <v>3.0999999999999999E-3</v>
      </c>
      <c r="T186" s="776"/>
      <c r="U186" s="785">
        <f t="shared" si="48"/>
        <v>3.6456</v>
      </c>
      <c r="V186" s="776"/>
      <c r="W186" s="783">
        <f t="shared" si="49"/>
        <v>2001.4122666666669</v>
      </c>
      <c r="Y186" s="786">
        <v>1.4E-3</v>
      </c>
      <c r="AA186" s="787">
        <f t="shared" si="50"/>
        <v>1.6464000000000001</v>
      </c>
      <c r="AC186" s="764" t="s">
        <v>912</v>
      </c>
    </row>
    <row r="187" spans="1:29">
      <c r="A187" s="763">
        <f t="shared" si="42"/>
        <v>158</v>
      </c>
      <c r="C187" s="775" t="s">
        <v>938</v>
      </c>
      <c r="D187" s="776"/>
      <c r="E187" s="777" t="s">
        <v>912</v>
      </c>
      <c r="F187" s="777"/>
      <c r="G187" s="777" t="s">
        <v>913</v>
      </c>
      <c r="H187" s="776"/>
      <c r="I187" s="778" t="s">
        <v>941</v>
      </c>
      <c r="J187" s="776"/>
      <c r="K187" s="781">
        <v>400</v>
      </c>
      <c r="L187" s="780"/>
      <c r="M187" s="781">
        <v>2358</v>
      </c>
      <c r="N187" s="776"/>
      <c r="O187" s="782">
        <f>'J-2'!$G$26*365/12</f>
        <v>9.9888333333333339</v>
      </c>
      <c r="P187" s="776"/>
      <c r="Q187" s="783">
        <f t="shared" si="47"/>
        <v>3995.5333333333338</v>
      </c>
      <c r="R187" s="776"/>
      <c r="S187" s="784">
        <f>'J-2'!$I$26</f>
        <v>3.0999999999999999E-3</v>
      </c>
      <c r="T187" s="776"/>
      <c r="U187" s="785">
        <f t="shared" si="48"/>
        <v>7.3098000000000001</v>
      </c>
      <c r="V187" s="776"/>
      <c r="W187" s="783">
        <f t="shared" si="49"/>
        <v>4002.8431333333338</v>
      </c>
      <c r="Y187" s="786">
        <v>1.4E-3</v>
      </c>
      <c r="AA187" s="787">
        <f t="shared" si="50"/>
        <v>3.3012000000000001</v>
      </c>
      <c r="AC187" s="764" t="s">
        <v>912</v>
      </c>
    </row>
    <row r="188" spans="1:29">
      <c r="A188" s="763">
        <f t="shared" si="42"/>
        <v>159</v>
      </c>
      <c r="C188" s="790" t="s">
        <v>960</v>
      </c>
      <c r="D188" s="776"/>
      <c r="E188" s="777"/>
      <c r="F188" s="777"/>
      <c r="G188" s="777"/>
      <c r="H188" s="776"/>
      <c r="I188" s="777"/>
      <c r="J188" s="776"/>
      <c r="K188" s="792">
        <f>SUM(K167:K187)</f>
        <v>209934</v>
      </c>
      <c r="L188" s="776"/>
      <c r="M188" s="792">
        <f>SUM(M167:M187)</f>
        <v>2636092</v>
      </c>
      <c r="N188" s="776"/>
      <c r="O188" s="776"/>
      <c r="P188" s="776"/>
      <c r="Q188" s="793">
        <f>SUM(Q167:Q187)</f>
        <v>2096995.7370000002</v>
      </c>
      <c r="R188" s="776"/>
      <c r="S188" s="776"/>
      <c r="T188" s="776"/>
      <c r="U188" s="793">
        <f>SUM(U167:U187)</f>
        <v>8171.8852000000006</v>
      </c>
      <c r="V188" s="776"/>
      <c r="W188" s="793">
        <f>SUM(W167:W187)</f>
        <v>2105167.6221999992</v>
      </c>
      <c r="AA188" s="793">
        <f>SUM(AA167:AA187)</f>
        <v>3690.5288</v>
      </c>
    </row>
    <row r="189" spans="1:29">
      <c r="A189" s="763" t="str">
        <f t="shared" si="42"/>
        <v/>
      </c>
      <c r="C189" s="790" t="s">
        <v>961</v>
      </c>
      <c r="D189" s="776"/>
      <c r="E189" s="777"/>
      <c r="F189" s="777"/>
      <c r="G189" s="777"/>
      <c r="H189" s="776"/>
      <c r="I189" s="777"/>
      <c r="J189" s="776"/>
      <c r="K189" s="794"/>
      <c r="L189" s="776"/>
      <c r="M189" s="780"/>
      <c r="N189" s="776"/>
      <c r="O189" s="776"/>
      <c r="P189" s="776"/>
      <c r="Q189" s="776"/>
      <c r="R189" s="776"/>
      <c r="S189" s="776"/>
      <c r="T189" s="776"/>
      <c r="U189" s="776"/>
      <c r="V189" s="776"/>
      <c r="W189" s="776"/>
    </row>
    <row r="190" spans="1:29">
      <c r="A190" s="763">
        <v>160</v>
      </c>
      <c r="C190" s="775" t="s">
        <v>948</v>
      </c>
      <c r="D190" s="776"/>
      <c r="E190" s="777" t="s">
        <v>912</v>
      </c>
      <c r="F190" s="777"/>
      <c r="G190" s="777" t="s">
        <v>962</v>
      </c>
      <c r="H190" s="776"/>
      <c r="I190" s="778" t="s">
        <v>963</v>
      </c>
      <c r="J190" s="776"/>
      <c r="K190" s="781">
        <v>0</v>
      </c>
      <c r="L190" s="776"/>
      <c r="M190" s="781">
        <v>6090</v>
      </c>
      <c r="N190" s="776"/>
      <c r="O190" s="782">
        <f>'J-2'!$G$26*365/12</f>
        <v>9.9888333333333339</v>
      </c>
      <c r="P190" s="776"/>
      <c r="Q190" s="783">
        <f t="shared" ref="Q190:Q197" si="51">K190*O190</f>
        <v>0</v>
      </c>
      <c r="R190" s="776"/>
      <c r="S190" s="784">
        <f>'J-2'!$I$26</f>
        <v>3.0999999999999999E-3</v>
      </c>
      <c r="T190" s="776"/>
      <c r="U190" s="785">
        <f t="shared" ref="U190:U197" si="52">S190*M190</f>
        <v>18.878999999999998</v>
      </c>
      <c r="V190" s="776"/>
      <c r="W190" s="783">
        <f t="shared" ref="W190:W197" si="53">U190+Q190</f>
        <v>18.878999999999998</v>
      </c>
      <c r="Y190" s="786">
        <v>1.4E-3</v>
      </c>
      <c r="AA190" s="787">
        <f t="shared" ref="AA190:AA197" si="54">Y190*M190</f>
        <v>8.5259999999999998</v>
      </c>
      <c r="AC190" s="764" t="s">
        <v>912</v>
      </c>
    </row>
    <row r="191" spans="1:29">
      <c r="A191" s="763">
        <f t="shared" si="42"/>
        <v>161</v>
      </c>
      <c r="C191" s="775" t="s">
        <v>958</v>
      </c>
      <c r="D191" s="776"/>
      <c r="E191" s="777" t="s">
        <v>912</v>
      </c>
      <c r="F191" s="777"/>
      <c r="G191" s="777" t="s">
        <v>962</v>
      </c>
      <c r="H191" s="776"/>
      <c r="I191" s="778" t="s">
        <v>964</v>
      </c>
      <c r="J191" s="776"/>
      <c r="K191" s="781">
        <v>0</v>
      </c>
      <c r="L191" s="776"/>
      <c r="M191" s="781">
        <v>8566</v>
      </c>
      <c r="N191" s="776"/>
      <c r="O191" s="782">
        <f>'J-2'!$G$26*365/12</f>
        <v>9.9888333333333339</v>
      </c>
      <c r="P191" s="776"/>
      <c r="Q191" s="783">
        <f t="shared" si="51"/>
        <v>0</v>
      </c>
      <c r="R191" s="776"/>
      <c r="S191" s="784">
        <f>'J-2'!$I$26</f>
        <v>3.0999999999999999E-3</v>
      </c>
      <c r="T191" s="776"/>
      <c r="U191" s="785">
        <f t="shared" si="52"/>
        <v>26.554600000000001</v>
      </c>
      <c r="V191" s="776"/>
      <c r="W191" s="783">
        <f t="shared" si="53"/>
        <v>26.554600000000001</v>
      </c>
      <c r="Y191" s="786">
        <v>1.4E-3</v>
      </c>
      <c r="AA191" s="787">
        <f t="shared" si="54"/>
        <v>11.9924</v>
      </c>
      <c r="AC191" s="764" t="s">
        <v>912</v>
      </c>
    </row>
    <row r="192" spans="1:29">
      <c r="A192" s="763">
        <f t="shared" si="42"/>
        <v>162</v>
      </c>
      <c r="C192" s="775" t="s">
        <v>932</v>
      </c>
      <c r="D192" s="776"/>
      <c r="E192" s="777" t="s">
        <v>912</v>
      </c>
      <c r="F192" s="777"/>
      <c r="G192" s="777" t="s">
        <v>962</v>
      </c>
      <c r="H192" s="776"/>
      <c r="I192" s="778" t="s">
        <v>965</v>
      </c>
      <c r="J192" s="776"/>
      <c r="K192" s="781">
        <v>0</v>
      </c>
      <c r="L192" s="776"/>
      <c r="M192" s="781">
        <v>4650</v>
      </c>
      <c r="N192" s="776"/>
      <c r="O192" s="782">
        <f>'J-2'!$G$26*365/12</f>
        <v>9.9888333333333339</v>
      </c>
      <c r="P192" s="776"/>
      <c r="Q192" s="783">
        <f t="shared" si="51"/>
        <v>0</v>
      </c>
      <c r="R192" s="776"/>
      <c r="S192" s="784">
        <f>'J-2'!$I$26</f>
        <v>3.0999999999999999E-3</v>
      </c>
      <c r="T192" s="776"/>
      <c r="U192" s="785">
        <f t="shared" si="52"/>
        <v>14.414999999999999</v>
      </c>
      <c r="V192" s="776"/>
      <c r="W192" s="783">
        <f t="shared" si="53"/>
        <v>14.414999999999999</v>
      </c>
      <c r="Y192" s="786">
        <v>1.4E-3</v>
      </c>
      <c r="AA192" s="787">
        <f t="shared" si="54"/>
        <v>6.51</v>
      </c>
      <c r="AC192" s="764" t="s">
        <v>912</v>
      </c>
    </row>
    <row r="193" spans="1:29">
      <c r="A193" s="763">
        <f t="shared" si="42"/>
        <v>163</v>
      </c>
      <c r="C193" s="775" t="s">
        <v>966</v>
      </c>
      <c r="D193" s="776"/>
      <c r="E193" s="777" t="s">
        <v>912</v>
      </c>
      <c r="F193" s="777"/>
      <c r="G193" s="777" t="s">
        <v>962</v>
      </c>
      <c r="H193" s="776"/>
      <c r="I193" s="778" t="s">
        <v>967</v>
      </c>
      <c r="J193" s="776"/>
      <c r="K193" s="781">
        <v>0</v>
      </c>
      <c r="L193" s="776"/>
      <c r="M193" s="781">
        <v>207823</v>
      </c>
      <c r="N193" s="776"/>
      <c r="O193" s="782">
        <f>'J-2'!$G$26*365/12</f>
        <v>9.9888333333333339</v>
      </c>
      <c r="P193" s="776"/>
      <c r="Q193" s="783">
        <f t="shared" si="51"/>
        <v>0</v>
      </c>
      <c r="R193" s="776"/>
      <c r="S193" s="784">
        <f>'J-2'!$I$26</f>
        <v>3.0999999999999999E-3</v>
      </c>
      <c r="T193" s="776"/>
      <c r="U193" s="785">
        <f t="shared" si="52"/>
        <v>644.25130000000001</v>
      </c>
      <c r="V193" s="776"/>
      <c r="W193" s="783">
        <f t="shared" si="53"/>
        <v>644.25130000000001</v>
      </c>
      <c r="Y193" s="786">
        <v>1.4E-3</v>
      </c>
      <c r="AA193" s="787">
        <f t="shared" si="54"/>
        <v>290.9522</v>
      </c>
      <c r="AC193" s="764" t="s">
        <v>912</v>
      </c>
    </row>
    <row r="194" spans="1:29">
      <c r="A194" s="763">
        <f t="shared" si="42"/>
        <v>164</v>
      </c>
      <c r="C194" s="775" t="s">
        <v>966</v>
      </c>
      <c r="D194" s="776"/>
      <c r="E194" s="777" t="s">
        <v>912</v>
      </c>
      <c r="F194" s="777"/>
      <c r="G194" s="777" t="s">
        <v>962</v>
      </c>
      <c r="H194" s="776"/>
      <c r="I194" s="778" t="s">
        <v>968</v>
      </c>
      <c r="J194" s="776"/>
      <c r="K194" s="781">
        <v>0</v>
      </c>
      <c r="L194" s="776"/>
      <c r="M194" s="781">
        <v>6110</v>
      </c>
      <c r="N194" s="776"/>
      <c r="O194" s="782">
        <f>'J-2'!$G$26*365/12</f>
        <v>9.9888333333333339</v>
      </c>
      <c r="P194" s="776"/>
      <c r="Q194" s="783">
        <f t="shared" si="51"/>
        <v>0</v>
      </c>
      <c r="R194" s="776"/>
      <c r="S194" s="784">
        <f>'J-2'!$I$26</f>
        <v>3.0999999999999999E-3</v>
      </c>
      <c r="T194" s="776"/>
      <c r="U194" s="785">
        <f t="shared" si="52"/>
        <v>18.940999999999999</v>
      </c>
      <c r="V194" s="776"/>
      <c r="W194" s="783">
        <f t="shared" si="53"/>
        <v>18.940999999999999</v>
      </c>
      <c r="Y194" s="786">
        <v>1.4E-3</v>
      </c>
      <c r="AA194" s="787">
        <f t="shared" si="54"/>
        <v>8.5540000000000003</v>
      </c>
      <c r="AC194" s="764" t="s">
        <v>912</v>
      </c>
    </row>
    <row r="195" spans="1:29">
      <c r="A195" s="763">
        <f t="shared" si="42"/>
        <v>165</v>
      </c>
      <c r="C195" s="775" t="s">
        <v>969</v>
      </c>
      <c r="D195" s="776"/>
      <c r="E195" s="777" t="s">
        <v>912</v>
      </c>
      <c r="F195" s="777"/>
      <c r="G195" s="777" t="s">
        <v>970</v>
      </c>
      <c r="H195" s="776"/>
      <c r="I195" s="778" t="s">
        <v>971</v>
      </c>
      <c r="J195" s="776"/>
      <c r="K195" s="781">
        <v>500</v>
      </c>
      <c r="L195" s="780"/>
      <c r="M195" s="781">
        <v>0</v>
      </c>
      <c r="N195" s="776"/>
      <c r="O195" s="782">
        <f>'J-2'!$G$26*365/12</f>
        <v>9.9888333333333339</v>
      </c>
      <c r="P195" s="776"/>
      <c r="Q195" s="783">
        <f t="shared" si="51"/>
        <v>4994.416666666667</v>
      </c>
      <c r="R195" s="776"/>
      <c r="S195" s="784">
        <f>'J-2'!$I$26</f>
        <v>3.0999999999999999E-3</v>
      </c>
      <c r="T195" s="776"/>
      <c r="U195" s="785">
        <f t="shared" si="52"/>
        <v>0</v>
      </c>
      <c r="V195" s="776"/>
      <c r="W195" s="783">
        <f t="shared" si="53"/>
        <v>4994.416666666667</v>
      </c>
      <c r="Y195" s="786">
        <v>1.4E-3</v>
      </c>
      <c r="AA195" s="787">
        <f t="shared" si="54"/>
        <v>0</v>
      </c>
      <c r="AC195" s="764" t="s">
        <v>912</v>
      </c>
    </row>
    <row r="196" spans="1:29">
      <c r="A196" s="763">
        <f t="shared" si="42"/>
        <v>166</v>
      </c>
      <c r="C196" s="775" t="s">
        <v>972</v>
      </c>
      <c r="D196" s="776"/>
      <c r="E196" s="777" t="s">
        <v>912</v>
      </c>
      <c r="F196" s="777"/>
      <c r="G196" s="777" t="s">
        <v>970</v>
      </c>
      <c r="H196" s="776"/>
      <c r="I196" s="778" t="s">
        <v>973</v>
      </c>
      <c r="J196" s="776"/>
      <c r="K196" s="781">
        <v>150</v>
      </c>
      <c r="L196" s="780"/>
      <c r="M196" s="781">
        <v>0</v>
      </c>
      <c r="N196" s="776"/>
      <c r="O196" s="782">
        <f>'J-2'!$G$26*365/12</f>
        <v>9.9888333333333339</v>
      </c>
      <c r="P196" s="776"/>
      <c r="Q196" s="783">
        <f t="shared" si="51"/>
        <v>1498.325</v>
      </c>
      <c r="R196" s="776"/>
      <c r="S196" s="784">
        <f>'J-2'!$I$26</f>
        <v>3.0999999999999999E-3</v>
      </c>
      <c r="T196" s="776"/>
      <c r="U196" s="785">
        <f t="shared" si="52"/>
        <v>0</v>
      </c>
      <c r="V196" s="776"/>
      <c r="W196" s="783">
        <f t="shared" si="53"/>
        <v>1498.325</v>
      </c>
      <c r="Y196" s="786">
        <v>1.4E-3</v>
      </c>
      <c r="AA196" s="787">
        <f t="shared" si="54"/>
        <v>0</v>
      </c>
      <c r="AC196" s="764" t="s">
        <v>912</v>
      </c>
    </row>
    <row r="197" spans="1:29">
      <c r="A197" s="763">
        <f t="shared" si="42"/>
        <v>167</v>
      </c>
      <c r="C197" s="775" t="s">
        <v>974</v>
      </c>
      <c r="D197" s="776"/>
      <c r="E197" s="777" t="s">
        <v>912</v>
      </c>
      <c r="F197" s="777"/>
      <c r="G197" s="777" t="s">
        <v>970</v>
      </c>
      <c r="H197" s="776"/>
      <c r="I197" s="778" t="s">
        <v>975</v>
      </c>
      <c r="J197" s="776"/>
      <c r="K197" s="781">
        <v>20000</v>
      </c>
      <c r="L197" s="780"/>
      <c r="M197" s="781">
        <v>0</v>
      </c>
      <c r="N197" s="776"/>
      <c r="O197" s="782">
        <f>'J-2'!$G$26*365/12</f>
        <v>9.9888333333333339</v>
      </c>
      <c r="P197" s="776"/>
      <c r="Q197" s="783">
        <f t="shared" si="51"/>
        <v>199776.66666666669</v>
      </c>
      <c r="R197" s="776"/>
      <c r="S197" s="784">
        <f>'J-2'!$I$26</f>
        <v>3.0999999999999999E-3</v>
      </c>
      <c r="T197" s="776"/>
      <c r="U197" s="785">
        <f t="shared" si="52"/>
        <v>0</v>
      </c>
      <c r="V197" s="776"/>
      <c r="W197" s="783">
        <f t="shared" si="53"/>
        <v>199776.66666666669</v>
      </c>
      <c r="Y197" s="786">
        <v>1.4E-3</v>
      </c>
      <c r="AA197" s="787">
        <f t="shared" si="54"/>
        <v>0</v>
      </c>
      <c r="AC197" s="764" t="s">
        <v>912</v>
      </c>
    </row>
    <row r="198" spans="1:29">
      <c r="A198" s="763">
        <f t="shared" si="42"/>
        <v>168</v>
      </c>
      <c r="C198" s="790" t="s">
        <v>976</v>
      </c>
      <c r="D198" s="776"/>
      <c r="E198" s="777"/>
      <c r="F198" s="777"/>
      <c r="G198" s="777"/>
      <c r="H198" s="776"/>
      <c r="I198" s="777"/>
      <c r="J198" s="776"/>
      <c r="K198" s="792">
        <f>SUM(K190:K197)</f>
        <v>20650</v>
      </c>
      <c r="L198" s="776"/>
      <c r="M198" s="792">
        <f>SUM(M190:M197)</f>
        <v>233239</v>
      </c>
      <c r="N198" s="776"/>
      <c r="O198" s="776"/>
      <c r="P198" s="776"/>
      <c r="Q198" s="793">
        <f>SUM(Q190:Q197)</f>
        <v>206269.40833333335</v>
      </c>
      <c r="R198" s="776"/>
      <c r="S198" s="776"/>
      <c r="T198" s="776"/>
      <c r="U198" s="793">
        <f>SUM(U190:U197)</f>
        <v>723.04090000000008</v>
      </c>
      <c r="V198" s="776"/>
      <c r="W198" s="793">
        <f>SUM(W190:W197)</f>
        <v>206992.44923333335</v>
      </c>
      <c r="AA198" s="793">
        <f>SUM(AA190:AA197)</f>
        <v>326.53459999999995</v>
      </c>
    </row>
    <row r="199" spans="1:29">
      <c r="A199" s="763" t="str">
        <f t="shared" si="42"/>
        <v/>
      </c>
      <c r="C199" s="790" t="s">
        <v>877</v>
      </c>
      <c r="D199" s="776"/>
      <c r="E199" s="777"/>
      <c r="F199" s="777"/>
      <c r="G199" s="777"/>
      <c r="H199" s="776"/>
      <c r="I199" s="777"/>
      <c r="J199" s="776"/>
      <c r="K199" s="794"/>
      <c r="L199" s="776"/>
      <c r="M199" s="780"/>
      <c r="N199" s="776"/>
      <c r="O199" s="776"/>
      <c r="P199" s="776"/>
      <c r="Q199" s="776"/>
      <c r="R199" s="776"/>
      <c r="S199" s="776"/>
      <c r="T199" s="776"/>
      <c r="U199" s="776"/>
      <c r="V199" s="776"/>
      <c r="W199" s="776"/>
    </row>
    <row r="200" spans="1:29">
      <c r="A200" s="763">
        <v>169</v>
      </c>
      <c r="C200" s="775" t="s">
        <v>932</v>
      </c>
      <c r="D200" s="776"/>
      <c r="E200" s="777" t="s">
        <v>912</v>
      </c>
      <c r="F200" s="777"/>
      <c r="G200" s="777" t="s">
        <v>977</v>
      </c>
      <c r="H200" s="776"/>
      <c r="I200" s="778" t="s">
        <v>978</v>
      </c>
      <c r="J200" s="776"/>
      <c r="K200" s="794">
        <v>0</v>
      </c>
      <c r="L200" s="776"/>
      <c r="M200" s="781">
        <v>38237</v>
      </c>
      <c r="N200" s="776"/>
      <c r="O200" s="782">
        <v>0</v>
      </c>
      <c r="P200" s="776"/>
      <c r="Q200" s="783">
        <f t="shared" ref="Q200" si="55">K200*O200</f>
        <v>0</v>
      </c>
      <c r="R200" s="776"/>
      <c r="S200" s="784">
        <f>'J-2'!$K$28</f>
        <v>0.33150000000000002</v>
      </c>
      <c r="T200" s="776"/>
      <c r="U200" s="785">
        <f t="shared" ref="U200" si="56">S200*M200</f>
        <v>12675.565500000001</v>
      </c>
      <c r="V200" s="776"/>
      <c r="W200" s="783">
        <f t="shared" ref="W200" si="57">U200+Q200</f>
        <v>12675.565500000001</v>
      </c>
      <c r="Y200" s="786">
        <v>1.4E-3</v>
      </c>
      <c r="AA200" s="787">
        <f>Y200*M200</f>
        <v>53.531799999999997</v>
      </c>
      <c r="AC200" s="764" t="s">
        <v>912</v>
      </c>
    </row>
    <row r="201" spans="1:29">
      <c r="A201" s="763">
        <f t="shared" si="42"/>
        <v>170</v>
      </c>
      <c r="C201" s="790" t="s">
        <v>982</v>
      </c>
      <c r="D201" s="776"/>
      <c r="E201" s="777"/>
      <c r="F201" s="777"/>
      <c r="G201" s="777"/>
      <c r="H201" s="776"/>
      <c r="I201" s="777"/>
      <c r="J201" s="776"/>
      <c r="K201" s="792">
        <f>SUM(K200)</f>
        <v>0</v>
      </c>
      <c r="L201" s="776"/>
      <c r="M201" s="792">
        <f>SUM(M200)</f>
        <v>38237</v>
      </c>
      <c r="N201" s="776"/>
      <c r="O201" s="776"/>
      <c r="P201" s="776"/>
      <c r="Q201" s="793">
        <f>SUM(Q200)</f>
        <v>0</v>
      </c>
      <c r="R201" s="776"/>
      <c r="S201" s="776"/>
      <c r="T201" s="776"/>
      <c r="U201" s="793">
        <f>SUM(U200)</f>
        <v>12675.565500000001</v>
      </c>
      <c r="V201" s="776"/>
      <c r="W201" s="793">
        <f>SUM(W200)</f>
        <v>12675.565500000001</v>
      </c>
      <c r="AA201" s="793">
        <f>SUM(AA200)</f>
        <v>53.531799999999997</v>
      </c>
    </row>
    <row r="202" spans="1:29">
      <c r="A202" s="763" t="str">
        <f t="shared" si="42"/>
        <v/>
      </c>
    </row>
    <row r="203" spans="1:29">
      <c r="A203" s="763" t="str">
        <f t="shared" si="42"/>
        <v/>
      </c>
      <c r="C203" s="768" t="s">
        <v>988</v>
      </c>
      <c r="D203" s="768"/>
      <c r="E203" s="802"/>
      <c r="F203" s="802"/>
      <c r="G203" s="802"/>
      <c r="H203" s="768"/>
      <c r="I203" s="802"/>
      <c r="J203" s="768"/>
      <c r="K203" s="803"/>
      <c r="L203" s="768"/>
      <c r="M203" s="804"/>
      <c r="N203" s="768"/>
      <c r="O203" s="768"/>
      <c r="P203" s="768"/>
      <c r="Q203" s="768"/>
      <c r="R203" s="768"/>
      <c r="S203" s="768"/>
      <c r="T203" s="768"/>
      <c r="U203" s="768"/>
      <c r="V203" s="768"/>
      <c r="W203" s="768"/>
      <c r="X203" s="768"/>
      <c r="Y203" s="768"/>
      <c r="Z203" s="768"/>
      <c r="AA203" s="768"/>
      <c r="AB203" s="768"/>
      <c r="AC203" s="768"/>
    </row>
    <row r="204" spans="1:29" s="769" customFormat="1">
      <c r="A204" s="763" t="str">
        <f t="shared" ref="A204:A267" si="58">IF(OR(K204/2&gt;0,M204/2&gt;0),A203+1,"")</f>
        <v/>
      </c>
      <c r="C204" s="770" t="s">
        <v>876</v>
      </c>
      <c r="D204" s="771"/>
      <c r="E204" s="772"/>
      <c r="F204" s="772"/>
      <c r="G204" s="772"/>
      <c r="H204" s="771"/>
      <c r="I204" s="772"/>
      <c r="J204" s="771"/>
      <c r="K204" s="773"/>
      <c r="L204" s="771"/>
      <c r="M204" s="774"/>
      <c r="N204" s="771"/>
      <c r="O204" s="771"/>
      <c r="P204" s="771"/>
      <c r="Q204" s="771"/>
      <c r="R204" s="771"/>
      <c r="S204" s="771"/>
      <c r="T204" s="771"/>
      <c r="U204" s="771"/>
      <c r="V204" s="771"/>
      <c r="W204" s="771"/>
      <c r="X204" s="771"/>
      <c r="Y204" s="771"/>
      <c r="Z204" s="771"/>
      <c r="AA204" s="771"/>
      <c r="AB204" s="771"/>
      <c r="AC204" s="771"/>
    </row>
    <row r="205" spans="1:29">
      <c r="A205" s="763">
        <v>172</v>
      </c>
      <c r="C205" s="805" t="s">
        <v>911</v>
      </c>
      <c r="E205" s="764" t="s">
        <v>912</v>
      </c>
      <c r="G205" s="764" t="s">
        <v>913</v>
      </c>
      <c r="I205" s="806" t="s">
        <v>914</v>
      </c>
      <c r="K205" s="794">
        <v>105750</v>
      </c>
      <c r="M205" s="798">
        <v>2207564</v>
      </c>
      <c r="O205" s="782">
        <f>'J-2'!$G$26*365/12</f>
        <v>9.9888333333333339</v>
      </c>
      <c r="Q205" s="807">
        <f>K205*O205</f>
        <v>1056319.125</v>
      </c>
      <c r="S205" s="784">
        <f>'J-2'!$I$26</f>
        <v>3.0999999999999999E-3</v>
      </c>
      <c r="U205" s="808">
        <f>M205*S205</f>
        <v>6843.4483999999993</v>
      </c>
      <c r="W205" s="797">
        <f>Q205+U205</f>
        <v>1063162.5734000001</v>
      </c>
      <c r="Y205" s="786">
        <v>1.4E-3</v>
      </c>
      <c r="AA205" s="787">
        <f t="shared" ref="AA205:AA225" si="59">Y205*M205</f>
        <v>3090.5895999999998</v>
      </c>
      <c r="AC205" s="764" t="s">
        <v>912</v>
      </c>
    </row>
    <row r="206" spans="1:29">
      <c r="A206" s="763">
        <f t="shared" si="58"/>
        <v>173</v>
      </c>
      <c r="C206" s="805" t="s">
        <v>915</v>
      </c>
      <c r="E206" s="764" t="s">
        <v>912</v>
      </c>
      <c r="G206" s="764" t="s">
        <v>913</v>
      </c>
      <c r="I206" s="806" t="s">
        <v>916</v>
      </c>
      <c r="K206" s="794">
        <v>200</v>
      </c>
      <c r="M206" s="809">
        <v>769</v>
      </c>
      <c r="O206" s="782">
        <f>'J-2'!$G$26*365/12</f>
        <v>9.9888333333333339</v>
      </c>
      <c r="Q206" s="807">
        <f t="shared" ref="Q206:Q225" si="60">K206*O206</f>
        <v>1997.7666666666669</v>
      </c>
      <c r="S206" s="784">
        <f>'J-2'!$I$26</f>
        <v>3.0999999999999999E-3</v>
      </c>
      <c r="U206" s="808">
        <f t="shared" ref="U206:U224" si="61">M206*S206</f>
        <v>2.3839000000000001</v>
      </c>
      <c r="W206" s="797">
        <f t="shared" ref="W206:W237" si="62">Q206+U206</f>
        <v>2000.1505666666669</v>
      </c>
      <c r="Y206" s="786">
        <v>1.4E-3</v>
      </c>
      <c r="AA206" s="787">
        <f t="shared" si="59"/>
        <v>1.0766</v>
      </c>
      <c r="AC206" s="764" t="s">
        <v>912</v>
      </c>
    </row>
    <row r="207" spans="1:29">
      <c r="A207" s="763">
        <f t="shared" si="58"/>
        <v>174</v>
      </c>
      <c r="C207" s="805" t="s">
        <v>917</v>
      </c>
      <c r="E207" s="764" t="s">
        <v>912</v>
      </c>
      <c r="G207" s="764" t="s">
        <v>913</v>
      </c>
      <c r="I207" s="806" t="s">
        <v>918</v>
      </c>
      <c r="K207" s="794">
        <v>1200</v>
      </c>
      <c r="M207" s="809">
        <v>1500</v>
      </c>
      <c r="O207" s="782">
        <f>'J-2'!$G$26*365/12</f>
        <v>9.9888333333333339</v>
      </c>
      <c r="Q207" s="807">
        <f t="shared" si="60"/>
        <v>11986.6</v>
      </c>
      <c r="S207" s="784">
        <f>'J-2'!$I$26</f>
        <v>3.0999999999999999E-3</v>
      </c>
      <c r="U207" s="808">
        <f t="shared" si="61"/>
        <v>4.6499999999999995</v>
      </c>
      <c r="W207" s="797">
        <f t="shared" si="62"/>
        <v>11991.25</v>
      </c>
      <c r="Y207" s="786">
        <v>1.4E-3</v>
      </c>
      <c r="AA207" s="787">
        <f t="shared" si="59"/>
        <v>2.1</v>
      </c>
      <c r="AC207" s="764" t="s">
        <v>912</v>
      </c>
    </row>
    <row r="208" spans="1:29">
      <c r="A208" s="763">
        <f t="shared" si="58"/>
        <v>175</v>
      </c>
      <c r="C208" s="805" t="s">
        <v>919</v>
      </c>
      <c r="E208" s="764" t="s">
        <v>912</v>
      </c>
      <c r="G208" s="764" t="s">
        <v>913</v>
      </c>
      <c r="I208" s="806" t="s">
        <v>920</v>
      </c>
      <c r="K208" s="794">
        <v>1550</v>
      </c>
      <c r="M208" s="798">
        <v>0</v>
      </c>
      <c r="O208" s="782">
        <f>'J-2'!$G$26*365/12</f>
        <v>9.9888333333333339</v>
      </c>
      <c r="Q208" s="807">
        <f t="shared" si="60"/>
        <v>15482.691666666668</v>
      </c>
      <c r="S208" s="784">
        <f>'J-2'!$I$26</f>
        <v>3.0999999999999999E-3</v>
      </c>
      <c r="U208" s="808">
        <f t="shared" si="61"/>
        <v>0</v>
      </c>
      <c r="W208" s="797">
        <f t="shared" si="62"/>
        <v>15482.691666666668</v>
      </c>
      <c r="Y208" s="786">
        <v>1.4E-3</v>
      </c>
      <c r="AA208" s="787">
        <f t="shared" si="59"/>
        <v>0</v>
      </c>
      <c r="AC208" s="764" t="s">
        <v>912</v>
      </c>
    </row>
    <row r="209" spans="1:33">
      <c r="A209" s="763">
        <f t="shared" si="58"/>
        <v>176</v>
      </c>
      <c r="C209" s="805" t="s">
        <v>911</v>
      </c>
      <c r="E209" s="764" t="s">
        <v>912</v>
      </c>
      <c r="G209" s="764" t="s">
        <v>913</v>
      </c>
      <c r="I209" s="806" t="s">
        <v>921</v>
      </c>
      <c r="K209" s="794">
        <v>10000</v>
      </c>
      <c r="M209" s="798">
        <v>300000</v>
      </c>
      <c r="O209" s="782">
        <f>'J-2'!$G$26*365/12</f>
        <v>9.9888333333333339</v>
      </c>
      <c r="Q209" s="807">
        <f t="shared" si="60"/>
        <v>99888.333333333343</v>
      </c>
      <c r="S209" s="784">
        <f>'J-2'!$I$26</f>
        <v>3.0999999999999999E-3</v>
      </c>
      <c r="U209" s="808">
        <f t="shared" si="61"/>
        <v>930</v>
      </c>
      <c r="W209" s="797">
        <f t="shared" si="62"/>
        <v>100818.33333333334</v>
      </c>
      <c r="Y209" s="786">
        <v>1.4E-3</v>
      </c>
      <c r="AA209" s="787">
        <f t="shared" si="59"/>
        <v>420</v>
      </c>
      <c r="AC209" s="764" t="s">
        <v>912</v>
      </c>
    </row>
    <row r="210" spans="1:33">
      <c r="A210" s="763">
        <f t="shared" si="58"/>
        <v>177</v>
      </c>
      <c r="C210" s="805" t="s">
        <v>922</v>
      </c>
      <c r="E210" s="764" t="s">
        <v>912</v>
      </c>
      <c r="G210" s="764" t="s">
        <v>913</v>
      </c>
      <c r="I210" s="806" t="s">
        <v>923</v>
      </c>
      <c r="K210" s="794">
        <v>200</v>
      </c>
      <c r="M210" s="798">
        <v>0</v>
      </c>
      <c r="O210" s="782">
        <f>'J-2'!$G$26*365/12</f>
        <v>9.9888333333333339</v>
      </c>
      <c r="Q210" s="807">
        <f t="shared" si="60"/>
        <v>1997.7666666666669</v>
      </c>
      <c r="S210" s="784">
        <f>'J-2'!$I$26</f>
        <v>3.0999999999999999E-3</v>
      </c>
      <c r="U210" s="808">
        <f t="shared" si="61"/>
        <v>0</v>
      </c>
      <c r="W210" s="797">
        <f t="shared" si="62"/>
        <v>1997.7666666666669</v>
      </c>
      <c r="Y210" s="786">
        <v>1.4E-3</v>
      </c>
      <c r="AA210" s="787">
        <f t="shared" si="59"/>
        <v>0</v>
      </c>
      <c r="AC210" s="764" t="s">
        <v>912</v>
      </c>
      <c r="AG210" s="797"/>
    </row>
    <row r="211" spans="1:33">
      <c r="A211" s="763">
        <f t="shared" si="58"/>
        <v>178</v>
      </c>
      <c r="C211" s="805" t="s">
        <v>989</v>
      </c>
      <c r="E211" s="764" t="s">
        <v>912</v>
      </c>
      <c r="G211" s="764" t="s">
        <v>913</v>
      </c>
      <c r="I211" s="806" t="s">
        <v>925</v>
      </c>
      <c r="K211" s="794">
        <v>550</v>
      </c>
      <c r="M211" s="798">
        <v>10450</v>
      </c>
      <c r="O211" s="782">
        <f>'J-2'!$G$26*365/12</f>
        <v>9.9888333333333339</v>
      </c>
      <c r="Q211" s="807">
        <f t="shared" si="60"/>
        <v>5493.8583333333336</v>
      </c>
      <c r="S211" s="784">
        <f>'J-2'!$I$26</f>
        <v>3.0999999999999999E-3</v>
      </c>
      <c r="U211" s="808">
        <f t="shared" si="61"/>
        <v>32.394999999999996</v>
      </c>
      <c r="W211" s="797">
        <f t="shared" si="62"/>
        <v>5526.253333333334</v>
      </c>
      <c r="Y211" s="786">
        <v>1.4E-3</v>
      </c>
      <c r="AA211" s="787">
        <f t="shared" si="59"/>
        <v>14.629999999999999</v>
      </c>
      <c r="AC211" s="764" t="s">
        <v>912</v>
      </c>
    </row>
    <row r="212" spans="1:33">
      <c r="A212" s="763">
        <f t="shared" si="58"/>
        <v>179</v>
      </c>
      <c r="C212" s="805" t="s">
        <v>911</v>
      </c>
      <c r="E212" s="764" t="s">
        <v>912</v>
      </c>
      <c r="G212" s="764" t="s">
        <v>913</v>
      </c>
      <c r="I212" s="806" t="s">
        <v>926</v>
      </c>
      <c r="K212" s="794">
        <v>5661</v>
      </c>
      <c r="M212" s="809">
        <v>169830</v>
      </c>
      <c r="O212" s="782">
        <f>'J-2'!$G$26*365/12</f>
        <v>9.9888333333333339</v>
      </c>
      <c r="Q212" s="807">
        <f t="shared" si="60"/>
        <v>56546.785500000005</v>
      </c>
      <c r="S212" s="784">
        <f>'J-2'!$I$26</f>
        <v>3.0999999999999999E-3</v>
      </c>
      <c r="U212" s="808">
        <f t="shared" si="61"/>
        <v>526.47299999999996</v>
      </c>
      <c r="W212" s="797">
        <f t="shared" si="62"/>
        <v>57073.258500000004</v>
      </c>
      <c r="Y212" s="786">
        <v>1.4E-3</v>
      </c>
      <c r="AA212" s="787">
        <f t="shared" si="59"/>
        <v>237.762</v>
      </c>
      <c r="AC212" s="764" t="s">
        <v>912</v>
      </c>
    </row>
    <row r="213" spans="1:33">
      <c r="A213" s="763">
        <f t="shared" si="58"/>
        <v>180</v>
      </c>
      <c r="C213" s="805" t="s">
        <v>911</v>
      </c>
      <c r="E213" s="764" t="s">
        <v>912</v>
      </c>
      <c r="G213" s="764" t="s">
        <v>913</v>
      </c>
      <c r="I213" s="806" t="s">
        <v>927</v>
      </c>
      <c r="K213" s="794">
        <v>5690</v>
      </c>
      <c r="M213" s="809">
        <v>170700</v>
      </c>
      <c r="O213" s="782">
        <f>'J-2'!$G$26*365/12</f>
        <v>9.9888333333333339</v>
      </c>
      <c r="Q213" s="807">
        <f t="shared" si="60"/>
        <v>56836.46166666667</v>
      </c>
      <c r="S213" s="784">
        <f>'J-2'!$I$26</f>
        <v>3.0999999999999999E-3</v>
      </c>
      <c r="U213" s="808">
        <f t="shared" si="61"/>
        <v>529.16999999999996</v>
      </c>
      <c r="W213" s="797">
        <f t="shared" si="62"/>
        <v>57365.631666666668</v>
      </c>
      <c r="Y213" s="786">
        <v>1.4E-3</v>
      </c>
      <c r="AA213" s="787">
        <f t="shared" si="59"/>
        <v>238.98</v>
      </c>
      <c r="AC213" s="764" t="s">
        <v>912</v>
      </c>
    </row>
    <row r="214" spans="1:33">
      <c r="A214" s="763">
        <f t="shared" si="58"/>
        <v>181</v>
      </c>
      <c r="C214" s="805" t="s">
        <v>928</v>
      </c>
      <c r="E214" s="764" t="s">
        <v>912</v>
      </c>
      <c r="G214" s="764" t="s">
        <v>913</v>
      </c>
      <c r="I214" s="806" t="s">
        <v>929</v>
      </c>
      <c r="K214" s="794">
        <v>8000</v>
      </c>
      <c r="M214" s="798">
        <v>0</v>
      </c>
      <c r="O214" s="782">
        <f>'J-2'!$G$26*365/12</f>
        <v>9.9888333333333339</v>
      </c>
      <c r="Q214" s="807">
        <f t="shared" si="60"/>
        <v>79910.666666666672</v>
      </c>
      <c r="S214" s="784">
        <f>'J-2'!$I$26</f>
        <v>3.0999999999999999E-3</v>
      </c>
      <c r="U214" s="808">
        <f t="shared" si="61"/>
        <v>0</v>
      </c>
      <c r="W214" s="797">
        <f t="shared" si="62"/>
        <v>79910.666666666672</v>
      </c>
      <c r="Y214" s="786">
        <v>1.4E-3</v>
      </c>
      <c r="AA214" s="787">
        <f t="shared" si="59"/>
        <v>0</v>
      </c>
      <c r="AC214" s="764" t="s">
        <v>912</v>
      </c>
    </row>
    <row r="215" spans="1:33">
      <c r="A215" s="763">
        <f t="shared" si="58"/>
        <v>182</v>
      </c>
      <c r="C215" s="805" t="s">
        <v>928</v>
      </c>
      <c r="E215" s="764" t="s">
        <v>912</v>
      </c>
      <c r="G215" s="764" t="s">
        <v>913</v>
      </c>
      <c r="I215" s="806" t="s">
        <v>930</v>
      </c>
      <c r="K215" s="794">
        <v>16500</v>
      </c>
      <c r="M215" s="798">
        <v>0</v>
      </c>
      <c r="O215" s="782">
        <f>'J-2'!$G$26*365/12</f>
        <v>9.9888333333333339</v>
      </c>
      <c r="Q215" s="807">
        <f t="shared" si="60"/>
        <v>164815.75</v>
      </c>
      <c r="S215" s="784">
        <f>'J-2'!$I$26</f>
        <v>3.0999999999999999E-3</v>
      </c>
      <c r="U215" s="808">
        <f t="shared" si="61"/>
        <v>0</v>
      </c>
      <c r="W215" s="797">
        <f t="shared" si="62"/>
        <v>164815.75</v>
      </c>
      <c r="Y215" s="786">
        <v>1.4E-3</v>
      </c>
      <c r="AA215" s="787">
        <f t="shared" si="59"/>
        <v>0</v>
      </c>
      <c r="AC215" s="764" t="s">
        <v>912</v>
      </c>
    </row>
    <row r="216" spans="1:33">
      <c r="A216" s="763">
        <f t="shared" si="58"/>
        <v>183</v>
      </c>
      <c r="C216" s="775" t="s">
        <v>928</v>
      </c>
      <c r="D216" s="776"/>
      <c r="E216" s="777" t="s">
        <v>912</v>
      </c>
      <c r="F216" s="777"/>
      <c r="G216" s="777" t="s">
        <v>913</v>
      </c>
      <c r="H216" s="776"/>
      <c r="I216" s="778" t="s">
        <v>1021</v>
      </c>
      <c r="J216" s="776"/>
      <c r="K216" s="779">
        <v>5951</v>
      </c>
      <c r="L216" s="780"/>
      <c r="M216" s="789">
        <f>K216*365/12*'G-1 '!$M$504</f>
        <v>0</v>
      </c>
      <c r="N216" s="776"/>
      <c r="O216" s="782">
        <f>'J-2'!$G$26*365/12</f>
        <v>9.9888333333333339</v>
      </c>
      <c r="P216" s="776"/>
      <c r="Q216" s="783">
        <f t="shared" si="60"/>
        <v>59443.547166666671</v>
      </c>
      <c r="R216" s="776"/>
      <c r="S216" s="784">
        <f>'J-2'!$I$26</f>
        <v>3.0999999999999999E-3</v>
      </c>
      <c r="T216" s="776"/>
      <c r="U216" s="785">
        <f t="shared" ref="U216" si="63">S216*M216</f>
        <v>0</v>
      </c>
      <c r="V216" s="776"/>
      <c r="W216" s="783">
        <f t="shared" ref="W216" si="64">U216+Q216</f>
        <v>59443.547166666671</v>
      </c>
      <c r="Y216" s="786">
        <v>1.4E-3</v>
      </c>
      <c r="AA216" s="787">
        <f t="shared" si="59"/>
        <v>0</v>
      </c>
      <c r="AC216" s="764" t="s">
        <v>912</v>
      </c>
    </row>
    <row r="217" spans="1:33">
      <c r="A217" s="763">
        <f t="shared" si="58"/>
        <v>184</v>
      </c>
      <c r="C217" s="805" t="s">
        <v>911</v>
      </c>
      <c r="E217" s="764" t="s">
        <v>912</v>
      </c>
      <c r="G217" s="764" t="s">
        <v>913</v>
      </c>
      <c r="I217" s="806" t="s">
        <v>931</v>
      </c>
      <c r="K217" s="794">
        <v>5722</v>
      </c>
      <c r="M217" s="809">
        <v>171660</v>
      </c>
      <c r="O217" s="782">
        <f>'J-2'!$G$26*365/12</f>
        <v>9.9888333333333339</v>
      </c>
      <c r="Q217" s="807">
        <f t="shared" si="60"/>
        <v>57156.104333333336</v>
      </c>
      <c r="S217" s="784">
        <f>'J-2'!$I$26</f>
        <v>3.0999999999999999E-3</v>
      </c>
      <c r="U217" s="808">
        <f t="shared" si="61"/>
        <v>532.14599999999996</v>
      </c>
      <c r="W217" s="797">
        <f t="shared" si="62"/>
        <v>57688.250333333337</v>
      </c>
      <c r="Y217" s="786">
        <v>1.4E-3</v>
      </c>
      <c r="AA217" s="787">
        <f t="shared" si="59"/>
        <v>240.32399999999998</v>
      </c>
      <c r="AC217" s="764" t="s">
        <v>912</v>
      </c>
    </row>
    <row r="218" spans="1:33">
      <c r="A218" s="763">
        <f t="shared" si="58"/>
        <v>185</v>
      </c>
      <c r="C218" s="805" t="s">
        <v>932</v>
      </c>
      <c r="E218" s="764" t="s">
        <v>912</v>
      </c>
      <c r="G218" s="764" t="s">
        <v>913</v>
      </c>
      <c r="I218" s="806" t="s">
        <v>933</v>
      </c>
      <c r="K218" s="794">
        <v>760</v>
      </c>
      <c r="M218" s="798">
        <v>22541</v>
      </c>
      <c r="O218" s="782">
        <f>'J-2'!$G$26*365/12</f>
        <v>9.9888333333333339</v>
      </c>
      <c r="Q218" s="807">
        <f t="shared" si="60"/>
        <v>7591.5133333333333</v>
      </c>
      <c r="S218" s="784">
        <f>'J-2'!$I$26</f>
        <v>3.0999999999999999E-3</v>
      </c>
      <c r="U218" s="808">
        <f t="shared" si="61"/>
        <v>69.877099999999999</v>
      </c>
      <c r="W218" s="797">
        <f t="shared" si="62"/>
        <v>7661.390433333333</v>
      </c>
      <c r="Y218" s="786">
        <v>1.4E-3</v>
      </c>
      <c r="AA218" s="787">
        <f t="shared" si="59"/>
        <v>31.557400000000001</v>
      </c>
      <c r="AC218" s="764" t="s">
        <v>912</v>
      </c>
    </row>
    <row r="219" spans="1:33">
      <c r="A219" s="763">
        <f t="shared" si="58"/>
        <v>186</v>
      </c>
      <c r="C219" s="805" t="s">
        <v>922</v>
      </c>
      <c r="E219" s="764" t="s">
        <v>912</v>
      </c>
      <c r="G219" s="764" t="s">
        <v>913</v>
      </c>
      <c r="I219" s="806" t="s">
        <v>934</v>
      </c>
      <c r="K219" s="794">
        <v>150</v>
      </c>
      <c r="M219" s="798">
        <v>0</v>
      </c>
      <c r="O219" s="782">
        <f>'J-2'!$G$26*365/12</f>
        <v>9.9888333333333339</v>
      </c>
      <c r="Q219" s="807">
        <f t="shared" si="60"/>
        <v>1498.325</v>
      </c>
      <c r="S219" s="784">
        <f>'J-2'!$I$26</f>
        <v>3.0999999999999999E-3</v>
      </c>
      <c r="U219" s="808">
        <f t="shared" si="61"/>
        <v>0</v>
      </c>
      <c r="W219" s="797">
        <f t="shared" si="62"/>
        <v>1498.325</v>
      </c>
      <c r="Y219" s="786">
        <v>1.4E-3</v>
      </c>
      <c r="AA219" s="787">
        <f t="shared" si="59"/>
        <v>0</v>
      </c>
      <c r="AC219" s="764" t="s">
        <v>912</v>
      </c>
    </row>
    <row r="220" spans="1:33">
      <c r="A220" s="763">
        <f t="shared" si="58"/>
        <v>187</v>
      </c>
      <c r="C220" s="805" t="s">
        <v>922</v>
      </c>
      <c r="E220" s="764" t="s">
        <v>912</v>
      </c>
      <c r="G220" s="764" t="s">
        <v>913</v>
      </c>
      <c r="I220" s="806" t="s">
        <v>935</v>
      </c>
      <c r="K220" s="794">
        <v>250</v>
      </c>
      <c r="M220" s="798">
        <v>0</v>
      </c>
      <c r="O220" s="782">
        <f>'J-2'!$G$26*365/12</f>
        <v>9.9888333333333339</v>
      </c>
      <c r="Q220" s="807">
        <f t="shared" si="60"/>
        <v>2497.2083333333335</v>
      </c>
      <c r="S220" s="784">
        <f>'J-2'!$I$26</f>
        <v>3.0999999999999999E-3</v>
      </c>
      <c r="U220" s="808">
        <f t="shared" si="61"/>
        <v>0</v>
      </c>
      <c r="W220" s="797">
        <f t="shared" si="62"/>
        <v>2497.2083333333335</v>
      </c>
      <c r="Y220" s="786">
        <v>1.4E-3</v>
      </c>
      <c r="AA220" s="787">
        <f t="shared" si="59"/>
        <v>0</v>
      </c>
      <c r="AC220" s="764" t="s">
        <v>912</v>
      </c>
      <c r="AG220" s="795"/>
    </row>
    <row r="221" spans="1:33">
      <c r="A221" s="763">
        <f t="shared" si="58"/>
        <v>188</v>
      </c>
      <c r="C221" s="805" t="s">
        <v>922</v>
      </c>
      <c r="E221" s="764" t="s">
        <v>912</v>
      </c>
      <c r="G221" s="764" t="s">
        <v>913</v>
      </c>
      <c r="I221" s="806" t="s">
        <v>936</v>
      </c>
      <c r="K221" s="794">
        <v>400</v>
      </c>
      <c r="M221" s="809">
        <v>6000</v>
      </c>
      <c r="O221" s="782">
        <f>'J-2'!$G$26*365/12</f>
        <v>9.9888333333333339</v>
      </c>
      <c r="Q221" s="807">
        <f t="shared" si="60"/>
        <v>3995.5333333333338</v>
      </c>
      <c r="S221" s="784">
        <f>'J-2'!$I$26</f>
        <v>3.0999999999999999E-3</v>
      </c>
      <c r="U221" s="808">
        <f t="shared" si="61"/>
        <v>18.599999999999998</v>
      </c>
      <c r="W221" s="797">
        <f t="shared" si="62"/>
        <v>4014.1333333333337</v>
      </c>
      <c r="Y221" s="786">
        <v>1.4E-3</v>
      </c>
      <c r="AA221" s="787">
        <f t="shared" si="59"/>
        <v>8.4</v>
      </c>
      <c r="AC221" s="764" t="s">
        <v>912</v>
      </c>
    </row>
    <row r="222" spans="1:33">
      <c r="A222" s="763">
        <f t="shared" si="58"/>
        <v>189</v>
      </c>
      <c r="C222" s="805" t="s">
        <v>911</v>
      </c>
      <c r="E222" s="764" t="s">
        <v>912</v>
      </c>
      <c r="G222" s="764" t="s">
        <v>913</v>
      </c>
      <c r="I222" s="806" t="s">
        <v>937</v>
      </c>
      <c r="K222" s="794">
        <v>40000</v>
      </c>
      <c r="M222" s="809">
        <v>185000</v>
      </c>
      <c r="O222" s="782">
        <f>'J-2'!$G$26*365/12</f>
        <v>9.9888333333333339</v>
      </c>
      <c r="Q222" s="807">
        <f t="shared" si="60"/>
        <v>399553.33333333337</v>
      </c>
      <c r="S222" s="784">
        <f>'J-2'!$I$26</f>
        <v>3.0999999999999999E-3</v>
      </c>
      <c r="U222" s="808">
        <f t="shared" si="61"/>
        <v>573.5</v>
      </c>
      <c r="W222" s="797">
        <f t="shared" si="62"/>
        <v>400126.83333333337</v>
      </c>
      <c r="Y222" s="786">
        <v>1.4E-3</v>
      </c>
      <c r="AA222" s="787">
        <f t="shared" si="59"/>
        <v>259</v>
      </c>
      <c r="AC222" s="764" t="s">
        <v>912</v>
      </c>
    </row>
    <row r="223" spans="1:33">
      <c r="A223" s="763">
        <f t="shared" si="58"/>
        <v>190</v>
      </c>
      <c r="C223" s="805" t="s">
        <v>990</v>
      </c>
      <c r="E223" s="764" t="s">
        <v>912</v>
      </c>
      <c r="G223" s="764" t="s">
        <v>913</v>
      </c>
      <c r="I223" s="806" t="s">
        <v>939</v>
      </c>
      <c r="K223" s="794">
        <v>800</v>
      </c>
      <c r="M223" s="809">
        <v>15678</v>
      </c>
      <c r="O223" s="782">
        <f>'J-2'!$G$26*365/12</f>
        <v>9.9888333333333339</v>
      </c>
      <c r="Q223" s="807">
        <f t="shared" si="60"/>
        <v>7991.0666666666675</v>
      </c>
      <c r="S223" s="784">
        <f>'J-2'!$I$26</f>
        <v>3.0999999999999999E-3</v>
      </c>
      <c r="U223" s="808">
        <f t="shared" si="61"/>
        <v>48.601799999999997</v>
      </c>
      <c r="W223" s="797">
        <f t="shared" si="62"/>
        <v>8039.6684666666679</v>
      </c>
      <c r="Y223" s="786">
        <v>1.4E-3</v>
      </c>
      <c r="AA223" s="787">
        <f t="shared" si="59"/>
        <v>21.949200000000001</v>
      </c>
      <c r="AC223" s="764" t="s">
        <v>912</v>
      </c>
    </row>
    <row r="224" spans="1:33">
      <c r="A224" s="763">
        <f t="shared" si="58"/>
        <v>191</v>
      </c>
      <c r="C224" s="805" t="s">
        <v>990</v>
      </c>
      <c r="E224" s="764" t="s">
        <v>912</v>
      </c>
      <c r="G224" s="764" t="s">
        <v>913</v>
      </c>
      <c r="I224" s="806" t="s">
        <v>940</v>
      </c>
      <c r="K224" s="794">
        <v>200</v>
      </c>
      <c r="M224" s="798">
        <v>0</v>
      </c>
      <c r="O224" s="782">
        <f>'J-2'!$G$26*365/12</f>
        <v>9.9888333333333339</v>
      </c>
      <c r="Q224" s="807">
        <f t="shared" si="60"/>
        <v>1997.7666666666669</v>
      </c>
      <c r="S224" s="784">
        <f>'J-2'!$I$26</f>
        <v>3.0999999999999999E-3</v>
      </c>
      <c r="U224" s="808">
        <f t="shared" si="61"/>
        <v>0</v>
      </c>
      <c r="W224" s="797">
        <f t="shared" si="62"/>
        <v>1997.7666666666669</v>
      </c>
      <c r="Y224" s="786">
        <v>1.4E-3</v>
      </c>
      <c r="AA224" s="787">
        <f t="shared" si="59"/>
        <v>0</v>
      </c>
      <c r="AC224" s="764" t="s">
        <v>912</v>
      </c>
    </row>
    <row r="225" spans="1:33">
      <c r="A225" s="763">
        <f t="shared" si="58"/>
        <v>192</v>
      </c>
      <c r="C225" s="805" t="s">
        <v>990</v>
      </c>
      <c r="E225" s="764" t="s">
        <v>912</v>
      </c>
      <c r="G225" s="764" t="s">
        <v>913</v>
      </c>
      <c r="I225" s="806" t="s">
        <v>941</v>
      </c>
      <c r="K225" s="810">
        <v>400</v>
      </c>
      <c r="M225" s="811">
        <v>0</v>
      </c>
      <c r="O225" s="782">
        <f>'J-2'!$G$26*365/12</f>
        <v>9.9888333333333339</v>
      </c>
      <c r="Q225" s="812">
        <f t="shared" si="60"/>
        <v>3995.5333333333338</v>
      </c>
      <c r="S225" s="784">
        <f>'J-2'!$I$26</f>
        <v>3.0999999999999999E-3</v>
      </c>
      <c r="U225" s="813">
        <f>M225*S225</f>
        <v>0</v>
      </c>
      <c r="W225" s="814">
        <f>Q225+U225</f>
        <v>3995.5333333333338</v>
      </c>
      <c r="Y225" s="786">
        <v>1.4E-3</v>
      </c>
      <c r="AA225" s="787">
        <f t="shared" si="59"/>
        <v>0</v>
      </c>
      <c r="AC225" s="764" t="s">
        <v>912</v>
      </c>
      <c r="AG225" s="795"/>
    </row>
    <row r="226" spans="1:33">
      <c r="A226" s="763">
        <f t="shared" si="58"/>
        <v>193</v>
      </c>
      <c r="C226" s="790" t="s">
        <v>960</v>
      </c>
      <c r="I226" s="806"/>
      <c r="K226" s="815">
        <f>SUM(K205:K225)</f>
        <v>209934</v>
      </c>
      <c r="M226" s="816">
        <f>SUM(M205:M225)</f>
        <v>3261692</v>
      </c>
      <c r="O226" s="817"/>
      <c r="Q226" s="818">
        <f>SUM(Q205:Q225)</f>
        <v>2096995.7370000002</v>
      </c>
      <c r="S226" s="819"/>
      <c r="U226" s="818">
        <f>SUM(U205:U225)</f>
        <v>10111.245199999999</v>
      </c>
      <c r="V226" s="820"/>
      <c r="W226" s="821">
        <f>SUM(W205:W225)</f>
        <v>2107106.9822</v>
      </c>
      <c r="AA226" s="793">
        <f>SUM(AA205:AA225)</f>
        <v>4566.3687999999993</v>
      </c>
    </row>
    <row r="227" spans="1:33">
      <c r="A227" s="763" t="str">
        <f t="shared" si="58"/>
        <v/>
      </c>
      <c r="C227" s="790" t="s">
        <v>961</v>
      </c>
      <c r="I227" s="806"/>
      <c r="K227" s="794"/>
      <c r="O227" s="817"/>
      <c r="Q227" s="807"/>
      <c r="S227" s="819"/>
      <c r="U227" s="808"/>
      <c r="W227" s="797"/>
    </row>
    <row r="228" spans="1:33">
      <c r="A228" s="763">
        <v>194</v>
      </c>
      <c r="C228" s="822" t="s">
        <v>958</v>
      </c>
      <c r="D228" s="769"/>
      <c r="E228" s="823" t="s">
        <v>912</v>
      </c>
      <c r="F228" s="823"/>
      <c r="G228" s="823" t="s">
        <v>962</v>
      </c>
      <c r="H228" s="769"/>
      <c r="I228" s="824" t="s">
        <v>964</v>
      </c>
      <c r="J228" s="769"/>
      <c r="K228" s="825">
        <v>0</v>
      </c>
      <c r="M228" s="798">
        <v>6345</v>
      </c>
      <c r="O228" s="782">
        <f>'J-2'!$G$26*365/12</f>
        <v>9.9888333333333339</v>
      </c>
      <c r="Q228" s="807">
        <f>K228*O228</f>
        <v>0</v>
      </c>
      <c r="S228" s="784">
        <f>'J-2'!$I$26</f>
        <v>3.0999999999999999E-3</v>
      </c>
      <c r="U228" s="808">
        <f>M228*S228</f>
        <v>19.669499999999999</v>
      </c>
      <c r="W228" s="797">
        <f>Q228+U228</f>
        <v>19.669499999999999</v>
      </c>
      <c r="Y228" s="786">
        <v>1.4E-3</v>
      </c>
      <c r="AA228" s="787">
        <f t="shared" ref="AA228:AA234" si="65">Y228*M228</f>
        <v>8.8829999999999991</v>
      </c>
      <c r="AC228" s="764" t="s">
        <v>912</v>
      </c>
      <c r="AF228" s="795"/>
    </row>
    <row r="229" spans="1:33">
      <c r="A229" s="763">
        <f t="shared" si="58"/>
        <v>195</v>
      </c>
      <c r="C229" s="822" t="s">
        <v>932</v>
      </c>
      <c r="D229" s="769"/>
      <c r="E229" s="823" t="s">
        <v>912</v>
      </c>
      <c r="F229" s="823"/>
      <c r="G229" s="823" t="s">
        <v>962</v>
      </c>
      <c r="H229" s="769"/>
      <c r="I229" s="824" t="s">
        <v>965</v>
      </c>
      <c r="J229" s="769"/>
      <c r="K229" s="825">
        <v>0</v>
      </c>
      <c r="M229" s="798">
        <v>4500</v>
      </c>
      <c r="O229" s="782">
        <f>'J-2'!$G$26*365/12</f>
        <v>9.9888333333333339</v>
      </c>
      <c r="Q229" s="807">
        <f t="shared" ref="Q229:Q234" si="66">K229*O229</f>
        <v>0</v>
      </c>
      <c r="S229" s="784">
        <f>'J-2'!$I$26</f>
        <v>3.0999999999999999E-3</v>
      </c>
      <c r="U229" s="808">
        <f t="shared" ref="U229:U234" si="67">M229*S229</f>
        <v>13.95</v>
      </c>
      <c r="W229" s="797">
        <f t="shared" ref="W229:W234" si="68">Q229+U229</f>
        <v>13.95</v>
      </c>
      <c r="Y229" s="786">
        <v>1.4E-3</v>
      </c>
      <c r="AA229" s="787">
        <f t="shared" si="65"/>
        <v>6.3</v>
      </c>
      <c r="AC229" s="764" t="s">
        <v>912</v>
      </c>
      <c r="AG229" s="795"/>
    </row>
    <row r="230" spans="1:33">
      <c r="A230" s="763">
        <f t="shared" si="58"/>
        <v>196</v>
      </c>
      <c r="C230" s="822" t="s">
        <v>991</v>
      </c>
      <c r="D230" s="769"/>
      <c r="E230" s="823" t="s">
        <v>912</v>
      </c>
      <c r="F230" s="823"/>
      <c r="G230" s="823" t="s">
        <v>962</v>
      </c>
      <c r="H230" s="769"/>
      <c r="I230" s="824" t="s">
        <v>967</v>
      </c>
      <c r="J230" s="769"/>
      <c r="K230" s="825">
        <v>0</v>
      </c>
      <c r="M230" s="798">
        <v>299337</v>
      </c>
      <c r="O230" s="782">
        <f>'J-2'!$G$26*365/12</f>
        <v>9.9888333333333339</v>
      </c>
      <c r="Q230" s="807">
        <f t="shared" si="66"/>
        <v>0</v>
      </c>
      <c r="S230" s="784">
        <f>'J-2'!$I$26</f>
        <v>3.0999999999999999E-3</v>
      </c>
      <c r="U230" s="808">
        <f t="shared" si="67"/>
        <v>927.94470000000001</v>
      </c>
      <c r="W230" s="797">
        <f t="shared" si="68"/>
        <v>927.94470000000001</v>
      </c>
      <c r="Y230" s="786">
        <v>1.4E-3</v>
      </c>
      <c r="AA230" s="787">
        <f t="shared" si="65"/>
        <v>419.0718</v>
      </c>
      <c r="AC230" s="764" t="s">
        <v>912</v>
      </c>
    </row>
    <row r="231" spans="1:33">
      <c r="A231" s="763">
        <f t="shared" si="58"/>
        <v>197</v>
      </c>
      <c r="C231" s="822" t="s">
        <v>991</v>
      </c>
      <c r="D231" s="769"/>
      <c r="E231" s="823" t="s">
        <v>912</v>
      </c>
      <c r="F231" s="823"/>
      <c r="G231" s="823" t="s">
        <v>962</v>
      </c>
      <c r="H231" s="769"/>
      <c r="I231" s="824" t="s">
        <v>968</v>
      </c>
      <c r="J231" s="769"/>
      <c r="K231" s="825">
        <v>0</v>
      </c>
      <c r="M231" s="798">
        <v>5003</v>
      </c>
      <c r="O231" s="782">
        <f>'J-2'!$G$26*365/12</f>
        <v>9.9888333333333339</v>
      </c>
      <c r="Q231" s="807">
        <f t="shared" si="66"/>
        <v>0</v>
      </c>
      <c r="S231" s="784">
        <f>'J-2'!$I$26</f>
        <v>3.0999999999999999E-3</v>
      </c>
      <c r="U231" s="808">
        <f t="shared" si="67"/>
        <v>15.5093</v>
      </c>
      <c r="W231" s="797">
        <f t="shared" si="68"/>
        <v>15.5093</v>
      </c>
      <c r="Y231" s="786">
        <v>1.4E-3</v>
      </c>
      <c r="AA231" s="787">
        <f t="shared" si="65"/>
        <v>7.0042</v>
      </c>
      <c r="AC231" s="764" t="s">
        <v>912</v>
      </c>
    </row>
    <row r="232" spans="1:33">
      <c r="A232" s="763">
        <f t="shared" si="58"/>
        <v>198</v>
      </c>
      <c r="C232" s="822" t="s">
        <v>972</v>
      </c>
      <c r="D232" s="769"/>
      <c r="E232" s="823" t="s">
        <v>912</v>
      </c>
      <c r="F232" s="823"/>
      <c r="G232" s="823" t="s">
        <v>970</v>
      </c>
      <c r="H232" s="769"/>
      <c r="I232" s="824" t="s">
        <v>973</v>
      </c>
      <c r="J232" s="769"/>
      <c r="K232" s="825">
        <v>150</v>
      </c>
      <c r="M232" s="798">
        <v>0</v>
      </c>
      <c r="O232" s="782">
        <f>'J-2'!$G$26*365/12</f>
        <v>9.9888333333333339</v>
      </c>
      <c r="Q232" s="807">
        <f t="shared" si="66"/>
        <v>1498.325</v>
      </c>
      <c r="S232" s="784">
        <f>'J-2'!$I$26</f>
        <v>3.0999999999999999E-3</v>
      </c>
      <c r="U232" s="808">
        <f t="shared" si="67"/>
        <v>0</v>
      </c>
      <c r="W232" s="797">
        <f t="shared" si="68"/>
        <v>1498.325</v>
      </c>
      <c r="Y232" s="786">
        <v>1.4E-3</v>
      </c>
      <c r="AA232" s="787">
        <f t="shared" si="65"/>
        <v>0</v>
      </c>
      <c r="AC232" s="764" t="s">
        <v>912</v>
      </c>
      <c r="AG232" s="797"/>
    </row>
    <row r="233" spans="1:33">
      <c r="A233" s="763">
        <f t="shared" si="58"/>
        <v>199</v>
      </c>
      <c r="C233" s="822" t="s">
        <v>974</v>
      </c>
      <c r="D233" s="769"/>
      <c r="E233" s="823" t="s">
        <v>912</v>
      </c>
      <c r="F233" s="823"/>
      <c r="G233" s="823" t="s">
        <v>970</v>
      </c>
      <c r="H233" s="769"/>
      <c r="I233" s="824" t="s">
        <v>975</v>
      </c>
      <c r="J233" s="769"/>
      <c r="K233" s="825">
        <v>20000</v>
      </c>
      <c r="M233" s="798">
        <v>0</v>
      </c>
      <c r="O233" s="782">
        <f>'J-2'!$G$26*365/12</f>
        <v>9.9888333333333339</v>
      </c>
      <c r="Q233" s="807">
        <f t="shared" si="66"/>
        <v>199776.66666666669</v>
      </c>
      <c r="S233" s="784">
        <f>'J-2'!$I$26</f>
        <v>3.0999999999999999E-3</v>
      </c>
      <c r="U233" s="808">
        <f t="shared" si="67"/>
        <v>0</v>
      </c>
      <c r="W233" s="797">
        <f t="shared" si="68"/>
        <v>199776.66666666669</v>
      </c>
      <c r="Y233" s="786">
        <v>1.4E-3</v>
      </c>
      <c r="AA233" s="787">
        <f t="shared" si="65"/>
        <v>0</v>
      </c>
      <c r="AC233" s="764" t="s">
        <v>912</v>
      </c>
      <c r="AG233" s="795"/>
    </row>
    <row r="234" spans="1:33">
      <c r="A234" s="763">
        <f t="shared" si="58"/>
        <v>200</v>
      </c>
      <c r="C234" s="822" t="s">
        <v>992</v>
      </c>
      <c r="D234" s="769"/>
      <c r="E234" s="823" t="s">
        <v>912</v>
      </c>
      <c r="F234" s="823"/>
      <c r="G234" s="823" t="s">
        <v>970</v>
      </c>
      <c r="H234" s="769"/>
      <c r="I234" s="824" t="s">
        <v>963</v>
      </c>
      <c r="J234" s="769"/>
      <c r="K234" s="826">
        <v>500</v>
      </c>
      <c r="M234" s="811">
        <v>5013</v>
      </c>
      <c r="O234" s="782">
        <f>'J-2'!$G$26*365/12</f>
        <v>9.9888333333333339</v>
      </c>
      <c r="Q234" s="812">
        <f t="shared" si="66"/>
        <v>4994.416666666667</v>
      </c>
      <c r="S234" s="784">
        <f>'J-2'!$I$26</f>
        <v>3.0999999999999999E-3</v>
      </c>
      <c r="U234" s="813">
        <f t="shared" si="67"/>
        <v>15.5403</v>
      </c>
      <c r="W234" s="814">
        <f t="shared" si="68"/>
        <v>5009.9569666666666</v>
      </c>
      <c r="Y234" s="786">
        <v>1.4E-3</v>
      </c>
      <c r="AA234" s="787">
        <f t="shared" si="65"/>
        <v>7.0182000000000002</v>
      </c>
      <c r="AC234" s="764" t="s">
        <v>912</v>
      </c>
    </row>
    <row r="235" spans="1:33">
      <c r="A235" s="763">
        <f t="shared" si="58"/>
        <v>201</v>
      </c>
      <c r="C235" s="790" t="s">
        <v>976</v>
      </c>
      <c r="I235" s="806"/>
      <c r="K235" s="815">
        <f>SUM(K228:K234)</f>
        <v>20650</v>
      </c>
      <c r="M235" s="816">
        <f>SUM(M228:M234)</f>
        <v>320198</v>
      </c>
      <c r="O235" s="817"/>
      <c r="Q235" s="818">
        <f>SUM(Q228:Q234)</f>
        <v>206269.40833333335</v>
      </c>
      <c r="S235" s="819"/>
      <c r="U235" s="827">
        <f>SUM(U228:U234)</f>
        <v>992.61380000000008</v>
      </c>
      <c r="W235" s="821">
        <f>SUM(W228:W234)</f>
        <v>207262.02213333338</v>
      </c>
      <c r="AA235" s="793">
        <f>SUM(AA228:AA234)</f>
        <v>448.27719999999999</v>
      </c>
    </row>
    <row r="236" spans="1:33">
      <c r="A236" s="763" t="str">
        <f t="shared" si="58"/>
        <v/>
      </c>
      <c r="C236" s="790" t="s">
        <v>877</v>
      </c>
      <c r="I236" s="806"/>
      <c r="K236" s="794"/>
      <c r="O236" s="817"/>
      <c r="Q236" s="807"/>
      <c r="S236" s="819"/>
      <c r="U236" s="808"/>
      <c r="W236" s="797"/>
    </row>
    <row r="237" spans="1:33">
      <c r="A237" s="763">
        <v>202</v>
      </c>
      <c r="C237" s="805" t="s">
        <v>932</v>
      </c>
      <c r="E237" s="764" t="s">
        <v>912</v>
      </c>
      <c r="G237" s="764" t="s">
        <v>977</v>
      </c>
      <c r="I237" s="806" t="s">
        <v>978</v>
      </c>
      <c r="K237" s="826">
        <v>0</v>
      </c>
      <c r="M237" s="828">
        <v>32044</v>
      </c>
      <c r="O237" s="829">
        <v>0</v>
      </c>
      <c r="Q237" s="830">
        <v>0</v>
      </c>
      <c r="S237" s="784">
        <f>'J-2'!$K$28</f>
        <v>0.33150000000000002</v>
      </c>
      <c r="U237" s="814">
        <f>M237*S237</f>
        <v>10622.586000000001</v>
      </c>
      <c r="W237" s="814">
        <f t="shared" si="62"/>
        <v>10622.586000000001</v>
      </c>
      <c r="Y237" s="786">
        <v>1.4E-3</v>
      </c>
      <c r="AA237" s="787">
        <f>Y237*M237</f>
        <v>44.861600000000003</v>
      </c>
      <c r="AC237" s="764" t="s">
        <v>912</v>
      </c>
    </row>
    <row r="238" spans="1:33">
      <c r="A238" s="763">
        <f t="shared" si="58"/>
        <v>203</v>
      </c>
      <c r="C238" s="770" t="s">
        <v>982</v>
      </c>
      <c r="I238" s="806"/>
      <c r="K238" s="831">
        <f>SUM(K237)</f>
        <v>0</v>
      </c>
      <c r="M238" s="832">
        <f>SUM(M237)</f>
        <v>32044</v>
      </c>
      <c r="O238" s="829"/>
      <c r="Q238" s="833">
        <f>SUM(Q237)</f>
        <v>0</v>
      </c>
      <c r="S238" s="829"/>
      <c r="U238" s="821">
        <f>SUM(U237)</f>
        <v>10622.586000000001</v>
      </c>
      <c r="W238" s="821">
        <f>SUM(W237)</f>
        <v>10622.586000000001</v>
      </c>
      <c r="AA238" s="793">
        <f>SUM(AA237)</f>
        <v>44.861600000000003</v>
      </c>
    </row>
    <row r="239" spans="1:33">
      <c r="A239" s="763" t="str">
        <f t="shared" si="58"/>
        <v/>
      </c>
      <c r="C239" s="770"/>
      <c r="I239" s="806"/>
      <c r="K239" s="825"/>
      <c r="M239" s="809"/>
      <c r="O239" s="829"/>
      <c r="Q239" s="819"/>
      <c r="S239" s="829"/>
      <c r="U239" s="797"/>
      <c r="W239" s="797"/>
    </row>
    <row r="240" spans="1:33">
      <c r="A240" s="763" t="str">
        <f t="shared" si="58"/>
        <v/>
      </c>
      <c r="C240" s="768" t="s">
        <v>993</v>
      </c>
      <c r="D240" s="768"/>
      <c r="E240" s="802"/>
      <c r="F240" s="802"/>
      <c r="G240" s="802"/>
      <c r="H240" s="768"/>
      <c r="I240" s="802"/>
      <c r="J240" s="768"/>
      <c r="K240" s="803"/>
      <c r="L240" s="768"/>
      <c r="M240" s="804"/>
      <c r="N240" s="768"/>
      <c r="O240" s="768"/>
      <c r="P240" s="768"/>
      <c r="Q240" s="768"/>
      <c r="R240" s="768"/>
      <c r="S240" s="768"/>
      <c r="T240" s="768"/>
      <c r="U240" s="768"/>
      <c r="V240" s="768"/>
      <c r="W240" s="768"/>
      <c r="X240" s="768"/>
      <c r="Y240" s="768"/>
      <c r="Z240" s="768"/>
      <c r="AA240" s="768"/>
      <c r="AB240" s="768"/>
      <c r="AC240" s="768"/>
    </row>
    <row r="241" spans="1:33">
      <c r="A241" s="763" t="str">
        <f t="shared" si="58"/>
        <v/>
      </c>
      <c r="C241" s="770" t="s">
        <v>876</v>
      </c>
    </row>
    <row r="242" spans="1:33">
      <c r="A242" s="763">
        <v>204</v>
      </c>
      <c r="C242" s="805" t="s">
        <v>911</v>
      </c>
      <c r="E242" s="764" t="s">
        <v>912</v>
      </c>
      <c r="G242" s="764" t="s">
        <v>913</v>
      </c>
      <c r="I242" s="806" t="s">
        <v>914</v>
      </c>
      <c r="K242" s="794">
        <v>105750</v>
      </c>
      <c r="M242" s="798">
        <v>1924068</v>
      </c>
      <c r="O242" s="782">
        <f>'J-2'!$G$26*365/12</f>
        <v>9.9888333333333339</v>
      </c>
      <c r="Q242" s="807">
        <f>K242*O242</f>
        <v>1056319.125</v>
      </c>
      <c r="S242" s="784">
        <f>'J-2'!$I$26</f>
        <v>3.0999999999999999E-3</v>
      </c>
      <c r="U242" s="819">
        <f>M242*S242</f>
        <v>5964.6107999999995</v>
      </c>
      <c r="W242" s="797">
        <f>Q242+U242</f>
        <v>1062283.7357999999</v>
      </c>
      <c r="Y242" s="786">
        <v>1.4E-3</v>
      </c>
      <c r="AA242" s="787">
        <f t="shared" ref="AA242:AA262" si="69">Y242*M242</f>
        <v>2693.6952000000001</v>
      </c>
      <c r="AC242" s="764" t="s">
        <v>912</v>
      </c>
    </row>
    <row r="243" spans="1:33">
      <c r="A243" s="763">
        <f t="shared" si="58"/>
        <v>205</v>
      </c>
      <c r="C243" s="805" t="s">
        <v>915</v>
      </c>
      <c r="E243" s="764" t="s">
        <v>912</v>
      </c>
      <c r="G243" s="764" t="s">
        <v>913</v>
      </c>
      <c r="I243" s="806" t="s">
        <v>916</v>
      </c>
      <c r="K243" s="794">
        <v>200</v>
      </c>
      <c r="M243" s="809">
        <v>405</v>
      </c>
      <c r="O243" s="782">
        <f>'J-2'!$G$26*365/12</f>
        <v>9.9888333333333339</v>
      </c>
      <c r="Q243" s="807">
        <f t="shared" ref="Q243:Q274" si="70">K243*O243</f>
        <v>1997.7666666666669</v>
      </c>
      <c r="S243" s="784">
        <f>'J-2'!$I$26</f>
        <v>3.0999999999999999E-3</v>
      </c>
      <c r="U243" s="819">
        <f t="shared" ref="U243:U271" si="71">M243*S243</f>
        <v>1.2555000000000001</v>
      </c>
      <c r="W243" s="797">
        <f t="shared" ref="W243:W271" si="72">Q243+U243</f>
        <v>1999.0221666666669</v>
      </c>
      <c r="Y243" s="786">
        <v>1.4E-3</v>
      </c>
      <c r="AA243" s="787">
        <f t="shared" si="69"/>
        <v>0.56699999999999995</v>
      </c>
      <c r="AC243" s="764" t="s">
        <v>912</v>
      </c>
    </row>
    <row r="244" spans="1:33">
      <c r="A244" s="763">
        <f t="shared" si="58"/>
        <v>206</v>
      </c>
      <c r="C244" s="805" t="s">
        <v>917</v>
      </c>
      <c r="E244" s="764" t="s">
        <v>912</v>
      </c>
      <c r="G244" s="764" t="s">
        <v>913</v>
      </c>
      <c r="I244" s="806" t="s">
        <v>918</v>
      </c>
      <c r="K244" s="794">
        <v>1200</v>
      </c>
      <c r="M244" s="809">
        <v>1500</v>
      </c>
      <c r="O244" s="782">
        <f>'J-2'!$G$26*365/12</f>
        <v>9.9888333333333339</v>
      </c>
      <c r="Q244" s="807">
        <f t="shared" si="70"/>
        <v>11986.6</v>
      </c>
      <c r="S244" s="784">
        <f>'J-2'!$I$26</f>
        <v>3.0999999999999999E-3</v>
      </c>
      <c r="U244" s="819">
        <f t="shared" si="71"/>
        <v>4.6499999999999995</v>
      </c>
      <c r="W244" s="797">
        <f t="shared" si="72"/>
        <v>11991.25</v>
      </c>
      <c r="Y244" s="786">
        <v>1.4E-3</v>
      </c>
      <c r="AA244" s="787">
        <f t="shared" si="69"/>
        <v>2.1</v>
      </c>
      <c r="AC244" s="764" t="s">
        <v>912</v>
      </c>
    </row>
    <row r="245" spans="1:33">
      <c r="A245" s="763">
        <f t="shared" si="58"/>
        <v>207</v>
      </c>
      <c r="C245" s="805" t="s">
        <v>919</v>
      </c>
      <c r="E245" s="764" t="s">
        <v>912</v>
      </c>
      <c r="G245" s="764" t="s">
        <v>913</v>
      </c>
      <c r="I245" s="806" t="s">
        <v>920</v>
      </c>
      <c r="K245" s="794">
        <v>1550</v>
      </c>
      <c r="O245" s="782">
        <f>'J-2'!$G$26*365/12</f>
        <v>9.9888333333333339</v>
      </c>
      <c r="Q245" s="807">
        <f t="shared" si="70"/>
        <v>15482.691666666668</v>
      </c>
      <c r="S245" s="784">
        <f>'J-2'!$I$26</f>
        <v>3.0999999999999999E-3</v>
      </c>
      <c r="U245" s="819">
        <f t="shared" si="71"/>
        <v>0</v>
      </c>
      <c r="W245" s="797">
        <f t="shared" si="72"/>
        <v>15482.691666666668</v>
      </c>
      <c r="Y245" s="786">
        <v>1.4E-3</v>
      </c>
      <c r="AA245" s="787">
        <f t="shared" si="69"/>
        <v>0</v>
      </c>
      <c r="AC245" s="764" t="s">
        <v>912</v>
      </c>
    </row>
    <row r="246" spans="1:33">
      <c r="A246" s="763">
        <f t="shared" si="58"/>
        <v>208</v>
      </c>
      <c r="C246" s="805" t="s">
        <v>911</v>
      </c>
      <c r="E246" s="764" t="s">
        <v>912</v>
      </c>
      <c r="G246" s="764" t="s">
        <v>913</v>
      </c>
      <c r="I246" s="806" t="s">
        <v>921</v>
      </c>
      <c r="K246" s="794">
        <v>10000</v>
      </c>
      <c r="M246" s="798">
        <v>304923</v>
      </c>
      <c r="O246" s="782">
        <f>'J-2'!$G$26*365/12</f>
        <v>9.9888333333333339</v>
      </c>
      <c r="Q246" s="807">
        <f t="shared" si="70"/>
        <v>99888.333333333343</v>
      </c>
      <c r="S246" s="784">
        <f>'J-2'!$I$26</f>
        <v>3.0999999999999999E-3</v>
      </c>
      <c r="U246" s="819">
        <f t="shared" si="71"/>
        <v>945.26130000000001</v>
      </c>
      <c r="W246" s="797">
        <f t="shared" si="72"/>
        <v>100833.59463333334</v>
      </c>
      <c r="Y246" s="786">
        <v>1.4E-3</v>
      </c>
      <c r="AA246" s="787">
        <f t="shared" si="69"/>
        <v>426.8922</v>
      </c>
      <c r="AC246" s="764" t="s">
        <v>912</v>
      </c>
    </row>
    <row r="247" spans="1:33">
      <c r="A247" s="763">
        <f t="shared" si="58"/>
        <v>209</v>
      </c>
      <c r="C247" s="805" t="s">
        <v>922</v>
      </c>
      <c r="E247" s="764" t="s">
        <v>912</v>
      </c>
      <c r="G247" s="764" t="s">
        <v>913</v>
      </c>
      <c r="I247" s="806" t="s">
        <v>923</v>
      </c>
      <c r="K247" s="794">
        <v>200</v>
      </c>
      <c r="O247" s="782">
        <f>'J-2'!$G$26*365/12</f>
        <v>9.9888333333333339</v>
      </c>
      <c r="Q247" s="807">
        <f t="shared" si="70"/>
        <v>1997.7666666666669</v>
      </c>
      <c r="S247" s="784">
        <f>'J-2'!$I$26</f>
        <v>3.0999999999999999E-3</v>
      </c>
      <c r="U247" s="819">
        <f t="shared" si="71"/>
        <v>0</v>
      </c>
      <c r="W247" s="797">
        <f t="shared" si="72"/>
        <v>1997.7666666666669</v>
      </c>
      <c r="Y247" s="786">
        <v>1.4E-3</v>
      </c>
      <c r="AA247" s="787">
        <f t="shared" si="69"/>
        <v>0</v>
      </c>
      <c r="AC247" s="764" t="s">
        <v>912</v>
      </c>
    </row>
    <row r="248" spans="1:33">
      <c r="A248" s="763">
        <f t="shared" si="58"/>
        <v>210</v>
      </c>
      <c r="C248" s="805" t="s">
        <v>989</v>
      </c>
      <c r="E248" s="764" t="s">
        <v>912</v>
      </c>
      <c r="G248" s="764" t="s">
        <v>913</v>
      </c>
      <c r="I248" s="806" t="s">
        <v>925</v>
      </c>
      <c r="K248" s="794">
        <v>550</v>
      </c>
      <c r="M248" s="809">
        <v>9100</v>
      </c>
      <c r="O248" s="782">
        <f>'J-2'!$G$26*365/12</f>
        <v>9.9888333333333339</v>
      </c>
      <c r="Q248" s="807">
        <f t="shared" si="70"/>
        <v>5493.8583333333336</v>
      </c>
      <c r="S248" s="784">
        <f>'J-2'!$I$26</f>
        <v>3.0999999999999999E-3</v>
      </c>
      <c r="U248" s="819">
        <f t="shared" si="71"/>
        <v>28.209999999999997</v>
      </c>
      <c r="W248" s="797">
        <f t="shared" si="72"/>
        <v>5522.0683333333336</v>
      </c>
      <c r="Y248" s="786">
        <v>1.4E-3</v>
      </c>
      <c r="AA248" s="787">
        <f t="shared" si="69"/>
        <v>12.74</v>
      </c>
      <c r="AC248" s="764" t="s">
        <v>912</v>
      </c>
    </row>
    <row r="249" spans="1:33">
      <c r="A249" s="763">
        <f t="shared" si="58"/>
        <v>211</v>
      </c>
      <c r="C249" s="805" t="s">
        <v>911</v>
      </c>
      <c r="E249" s="764" t="s">
        <v>912</v>
      </c>
      <c r="G249" s="764" t="s">
        <v>913</v>
      </c>
      <c r="I249" s="806" t="s">
        <v>926</v>
      </c>
      <c r="K249" s="794">
        <v>5661</v>
      </c>
      <c r="M249" s="798">
        <v>172606</v>
      </c>
      <c r="O249" s="782">
        <f>'J-2'!$G$26*365/12</f>
        <v>9.9888333333333339</v>
      </c>
      <c r="Q249" s="807">
        <f t="shared" si="70"/>
        <v>56546.785500000005</v>
      </c>
      <c r="S249" s="784">
        <f>'J-2'!$I$26</f>
        <v>3.0999999999999999E-3</v>
      </c>
      <c r="U249" s="819">
        <f t="shared" si="71"/>
        <v>535.07859999999994</v>
      </c>
      <c r="W249" s="797">
        <f t="shared" si="72"/>
        <v>57081.864100000006</v>
      </c>
      <c r="Y249" s="786">
        <v>1.4E-3</v>
      </c>
      <c r="AA249" s="787">
        <f t="shared" si="69"/>
        <v>241.64840000000001</v>
      </c>
      <c r="AC249" s="764" t="s">
        <v>912</v>
      </c>
    </row>
    <row r="250" spans="1:33">
      <c r="A250" s="763">
        <f t="shared" si="58"/>
        <v>212</v>
      </c>
      <c r="C250" s="805" t="s">
        <v>911</v>
      </c>
      <c r="E250" s="764" t="s">
        <v>912</v>
      </c>
      <c r="G250" s="764" t="s">
        <v>913</v>
      </c>
      <c r="I250" s="806" t="s">
        <v>927</v>
      </c>
      <c r="K250" s="794">
        <v>5690</v>
      </c>
      <c r="M250" s="798">
        <v>173491</v>
      </c>
      <c r="O250" s="782">
        <f>'J-2'!$G$26*365/12</f>
        <v>9.9888333333333339</v>
      </c>
      <c r="Q250" s="807">
        <f t="shared" si="70"/>
        <v>56836.46166666667</v>
      </c>
      <c r="S250" s="784">
        <f>'J-2'!$I$26</f>
        <v>3.0999999999999999E-3</v>
      </c>
      <c r="U250" s="819">
        <f t="shared" si="71"/>
        <v>537.82209999999998</v>
      </c>
      <c r="W250" s="797">
        <f t="shared" si="72"/>
        <v>57374.283766666667</v>
      </c>
      <c r="Y250" s="786">
        <v>1.4E-3</v>
      </c>
      <c r="AA250" s="787">
        <f t="shared" si="69"/>
        <v>242.88739999999999</v>
      </c>
      <c r="AC250" s="764" t="s">
        <v>912</v>
      </c>
    </row>
    <row r="251" spans="1:33">
      <c r="A251" s="763">
        <f t="shared" si="58"/>
        <v>213</v>
      </c>
      <c r="C251" s="805" t="s">
        <v>928</v>
      </c>
      <c r="E251" s="764" t="s">
        <v>912</v>
      </c>
      <c r="G251" s="764" t="s">
        <v>913</v>
      </c>
      <c r="I251" s="806" t="s">
        <v>929</v>
      </c>
      <c r="K251" s="794">
        <v>8000</v>
      </c>
      <c r="O251" s="782">
        <f>'J-2'!$G$26*365/12</f>
        <v>9.9888333333333339</v>
      </c>
      <c r="Q251" s="807">
        <f t="shared" si="70"/>
        <v>79910.666666666672</v>
      </c>
      <c r="S251" s="784">
        <f>'J-2'!$I$26</f>
        <v>3.0999999999999999E-3</v>
      </c>
      <c r="U251" s="819">
        <f t="shared" si="71"/>
        <v>0</v>
      </c>
      <c r="W251" s="797">
        <f t="shared" si="72"/>
        <v>79910.666666666672</v>
      </c>
      <c r="Y251" s="786">
        <v>1.4E-3</v>
      </c>
      <c r="AA251" s="787">
        <f t="shared" si="69"/>
        <v>0</v>
      </c>
      <c r="AC251" s="764" t="s">
        <v>912</v>
      </c>
      <c r="AG251" s="795"/>
    </row>
    <row r="252" spans="1:33">
      <c r="A252" s="763">
        <f t="shared" si="58"/>
        <v>214</v>
      </c>
      <c r="C252" s="805" t="s">
        <v>928</v>
      </c>
      <c r="E252" s="764" t="s">
        <v>912</v>
      </c>
      <c r="G252" s="764" t="s">
        <v>913</v>
      </c>
      <c r="I252" s="806" t="s">
        <v>930</v>
      </c>
      <c r="K252" s="794">
        <v>16500</v>
      </c>
      <c r="O252" s="782">
        <f>'J-2'!$G$26*365/12</f>
        <v>9.9888333333333339</v>
      </c>
      <c r="Q252" s="807">
        <f t="shared" si="70"/>
        <v>164815.75</v>
      </c>
      <c r="S252" s="784">
        <f>'J-2'!$I$26</f>
        <v>3.0999999999999999E-3</v>
      </c>
      <c r="U252" s="819">
        <f t="shared" si="71"/>
        <v>0</v>
      </c>
      <c r="W252" s="797">
        <f t="shared" si="72"/>
        <v>164815.75</v>
      </c>
      <c r="Y252" s="786">
        <v>1.4E-3</v>
      </c>
      <c r="AA252" s="787">
        <f t="shared" si="69"/>
        <v>0</v>
      </c>
      <c r="AC252" s="764" t="s">
        <v>912</v>
      </c>
    </row>
    <row r="253" spans="1:33">
      <c r="A253" s="763">
        <f t="shared" si="58"/>
        <v>215</v>
      </c>
      <c r="C253" s="775" t="s">
        <v>928</v>
      </c>
      <c r="D253" s="776"/>
      <c r="E253" s="777" t="s">
        <v>912</v>
      </c>
      <c r="F253" s="777"/>
      <c r="G253" s="777" t="s">
        <v>913</v>
      </c>
      <c r="H253" s="776"/>
      <c r="I253" s="778" t="s">
        <v>1021</v>
      </c>
      <c r="J253" s="776"/>
      <c r="K253" s="779">
        <v>5951</v>
      </c>
      <c r="L253" s="780"/>
      <c r="M253" s="789">
        <f>K253*365/12*'G-1 '!$M$504</f>
        <v>0</v>
      </c>
      <c r="N253" s="776"/>
      <c r="O253" s="782">
        <f>'J-2'!$G$26*365/12</f>
        <v>9.9888333333333339</v>
      </c>
      <c r="P253" s="776"/>
      <c r="Q253" s="783">
        <f t="shared" si="70"/>
        <v>59443.547166666671</v>
      </c>
      <c r="R253" s="776"/>
      <c r="S253" s="784">
        <f>'J-2'!$I$26</f>
        <v>3.0999999999999999E-3</v>
      </c>
      <c r="T253" s="776"/>
      <c r="U253" s="785">
        <f t="shared" ref="U253" si="73">S253*M253</f>
        <v>0</v>
      </c>
      <c r="V253" s="776"/>
      <c r="W253" s="783">
        <f t="shared" ref="W253" si="74">U253+Q253</f>
        <v>59443.547166666671</v>
      </c>
      <c r="Y253" s="786">
        <v>1.4E-3</v>
      </c>
      <c r="AA253" s="787">
        <f t="shared" si="69"/>
        <v>0</v>
      </c>
      <c r="AC253" s="764" t="s">
        <v>912</v>
      </c>
    </row>
    <row r="254" spans="1:33">
      <c r="A254" s="763">
        <f t="shared" si="58"/>
        <v>216</v>
      </c>
      <c r="C254" s="805" t="s">
        <v>911</v>
      </c>
      <c r="E254" s="764" t="s">
        <v>912</v>
      </c>
      <c r="G254" s="764" t="s">
        <v>913</v>
      </c>
      <c r="I254" s="806" t="s">
        <v>931</v>
      </c>
      <c r="K254" s="794">
        <v>5722</v>
      </c>
      <c r="M254" s="798">
        <v>174468</v>
      </c>
      <c r="O254" s="782">
        <f>'J-2'!$G$26*365/12</f>
        <v>9.9888333333333339</v>
      </c>
      <c r="Q254" s="807">
        <f t="shared" si="70"/>
        <v>57156.104333333336</v>
      </c>
      <c r="S254" s="784">
        <f>'J-2'!$I$26</f>
        <v>3.0999999999999999E-3</v>
      </c>
      <c r="U254" s="819">
        <f t="shared" si="71"/>
        <v>540.85079999999994</v>
      </c>
      <c r="W254" s="797">
        <f t="shared" si="72"/>
        <v>57696.955133333337</v>
      </c>
      <c r="Y254" s="786">
        <v>1.4E-3</v>
      </c>
      <c r="AA254" s="787">
        <f t="shared" si="69"/>
        <v>244.2552</v>
      </c>
      <c r="AC254" s="764" t="s">
        <v>912</v>
      </c>
    </row>
    <row r="255" spans="1:33">
      <c r="A255" s="763">
        <f t="shared" si="58"/>
        <v>217</v>
      </c>
      <c r="C255" s="805" t="s">
        <v>932</v>
      </c>
      <c r="E255" s="764" t="s">
        <v>912</v>
      </c>
      <c r="G255" s="764" t="s">
        <v>913</v>
      </c>
      <c r="I255" s="806" t="s">
        <v>933</v>
      </c>
      <c r="K255" s="794">
        <v>760</v>
      </c>
      <c r="M255" s="809">
        <v>23526</v>
      </c>
      <c r="O255" s="782">
        <f>'J-2'!$G$26*365/12</f>
        <v>9.9888333333333339</v>
      </c>
      <c r="Q255" s="807">
        <f t="shared" si="70"/>
        <v>7591.5133333333333</v>
      </c>
      <c r="S255" s="784">
        <f>'J-2'!$I$26</f>
        <v>3.0999999999999999E-3</v>
      </c>
      <c r="U255" s="819">
        <f t="shared" si="71"/>
        <v>72.930599999999998</v>
      </c>
      <c r="W255" s="797">
        <f t="shared" si="72"/>
        <v>7664.443933333333</v>
      </c>
      <c r="Y255" s="786">
        <v>1.4E-3</v>
      </c>
      <c r="AA255" s="787">
        <f t="shared" si="69"/>
        <v>32.936399999999999</v>
      </c>
      <c r="AC255" s="764" t="s">
        <v>912</v>
      </c>
    </row>
    <row r="256" spans="1:33">
      <c r="A256" s="763">
        <f t="shared" si="58"/>
        <v>218</v>
      </c>
      <c r="C256" s="805" t="s">
        <v>922</v>
      </c>
      <c r="E256" s="764" t="s">
        <v>912</v>
      </c>
      <c r="G256" s="764" t="s">
        <v>913</v>
      </c>
      <c r="I256" s="806" t="s">
        <v>934</v>
      </c>
      <c r="K256" s="794">
        <v>150</v>
      </c>
      <c r="O256" s="782">
        <f>'J-2'!$G$26*365/12</f>
        <v>9.9888333333333339</v>
      </c>
      <c r="Q256" s="807">
        <f t="shared" si="70"/>
        <v>1498.325</v>
      </c>
      <c r="S256" s="784">
        <f>'J-2'!$I$26</f>
        <v>3.0999999999999999E-3</v>
      </c>
      <c r="U256" s="819">
        <f t="shared" si="71"/>
        <v>0</v>
      </c>
      <c r="W256" s="797">
        <f t="shared" si="72"/>
        <v>1498.325</v>
      </c>
      <c r="Y256" s="786">
        <v>1.4E-3</v>
      </c>
      <c r="AA256" s="787">
        <f t="shared" si="69"/>
        <v>0</v>
      </c>
      <c r="AC256" s="764" t="s">
        <v>912</v>
      </c>
    </row>
    <row r="257" spans="1:32">
      <c r="A257" s="763">
        <f t="shared" si="58"/>
        <v>219</v>
      </c>
      <c r="C257" s="805" t="s">
        <v>922</v>
      </c>
      <c r="E257" s="764" t="s">
        <v>912</v>
      </c>
      <c r="G257" s="764" t="s">
        <v>913</v>
      </c>
      <c r="I257" s="806" t="s">
        <v>935</v>
      </c>
      <c r="K257" s="794">
        <v>250</v>
      </c>
      <c r="O257" s="782">
        <f>'J-2'!$G$26*365/12</f>
        <v>9.9888333333333339</v>
      </c>
      <c r="Q257" s="807">
        <f t="shared" si="70"/>
        <v>2497.2083333333335</v>
      </c>
      <c r="S257" s="784">
        <f>'J-2'!$I$26</f>
        <v>3.0999999999999999E-3</v>
      </c>
      <c r="U257" s="819">
        <f t="shared" si="71"/>
        <v>0</v>
      </c>
      <c r="W257" s="797">
        <f t="shared" si="72"/>
        <v>2497.2083333333335</v>
      </c>
      <c r="Y257" s="786">
        <v>1.4E-3</v>
      </c>
      <c r="AA257" s="787">
        <f t="shared" si="69"/>
        <v>0</v>
      </c>
      <c r="AC257" s="764" t="s">
        <v>912</v>
      </c>
    </row>
    <row r="258" spans="1:32">
      <c r="A258" s="763">
        <f t="shared" si="58"/>
        <v>220</v>
      </c>
      <c r="C258" s="805" t="s">
        <v>922</v>
      </c>
      <c r="E258" s="764" t="s">
        <v>912</v>
      </c>
      <c r="G258" s="764" t="s">
        <v>913</v>
      </c>
      <c r="I258" s="806" t="s">
        <v>936</v>
      </c>
      <c r="K258" s="794">
        <v>400</v>
      </c>
      <c r="M258" s="809">
        <v>4050</v>
      </c>
      <c r="O258" s="782">
        <f>'J-2'!$G$26*365/12</f>
        <v>9.9888333333333339</v>
      </c>
      <c r="Q258" s="807">
        <f t="shared" si="70"/>
        <v>3995.5333333333338</v>
      </c>
      <c r="S258" s="784">
        <f>'J-2'!$I$26</f>
        <v>3.0999999999999999E-3</v>
      </c>
      <c r="U258" s="819">
        <f t="shared" si="71"/>
        <v>12.555</v>
      </c>
      <c r="W258" s="797">
        <f t="shared" si="72"/>
        <v>4008.0883333333336</v>
      </c>
      <c r="Y258" s="786">
        <v>1.4E-3</v>
      </c>
      <c r="AA258" s="787">
        <f t="shared" si="69"/>
        <v>5.67</v>
      </c>
      <c r="AC258" s="764" t="s">
        <v>912</v>
      </c>
    </row>
    <row r="259" spans="1:32">
      <c r="A259" s="763">
        <f t="shared" si="58"/>
        <v>221</v>
      </c>
      <c r="C259" s="805" t="s">
        <v>911</v>
      </c>
      <c r="E259" s="764" t="s">
        <v>912</v>
      </c>
      <c r="G259" s="764" t="s">
        <v>913</v>
      </c>
      <c r="I259" s="806" t="s">
        <v>937</v>
      </c>
      <c r="K259" s="794">
        <v>40000</v>
      </c>
      <c r="M259" s="809">
        <v>154845</v>
      </c>
      <c r="O259" s="782">
        <f>'J-2'!$G$26*365/12</f>
        <v>9.9888333333333339</v>
      </c>
      <c r="Q259" s="807">
        <f t="shared" si="70"/>
        <v>399553.33333333337</v>
      </c>
      <c r="S259" s="784">
        <f>'J-2'!$I$26</f>
        <v>3.0999999999999999E-3</v>
      </c>
      <c r="U259" s="819">
        <f t="shared" si="71"/>
        <v>480.01949999999999</v>
      </c>
      <c r="W259" s="797">
        <f t="shared" si="72"/>
        <v>400033.35283333337</v>
      </c>
      <c r="Y259" s="786">
        <v>1.4E-3</v>
      </c>
      <c r="AA259" s="787">
        <f t="shared" si="69"/>
        <v>216.78299999999999</v>
      </c>
      <c r="AC259" s="764" t="s">
        <v>912</v>
      </c>
    </row>
    <row r="260" spans="1:32">
      <c r="A260" s="763">
        <f t="shared" si="58"/>
        <v>222</v>
      </c>
      <c r="C260" s="805" t="s">
        <v>990</v>
      </c>
      <c r="E260" s="764" t="s">
        <v>912</v>
      </c>
      <c r="G260" s="764" t="s">
        <v>913</v>
      </c>
      <c r="I260" s="806" t="s">
        <v>939</v>
      </c>
      <c r="K260" s="794">
        <v>800</v>
      </c>
      <c r="M260" s="809">
        <v>22503</v>
      </c>
      <c r="O260" s="782">
        <f>'J-2'!$G$26*365/12</f>
        <v>9.9888333333333339</v>
      </c>
      <c r="Q260" s="807">
        <f t="shared" si="70"/>
        <v>7991.0666666666675</v>
      </c>
      <c r="S260" s="784">
        <f>'J-2'!$I$26</f>
        <v>3.0999999999999999E-3</v>
      </c>
      <c r="U260" s="819">
        <f t="shared" si="71"/>
        <v>69.759299999999996</v>
      </c>
      <c r="W260" s="797">
        <f t="shared" si="72"/>
        <v>8060.8259666666672</v>
      </c>
      <c r="Y260" s="786">
        <v>1.4E-3</v>
      </c>
      <c r="AA260" s="787">
        <f t="shared" si="69"/>
        <v>31.504200000000001</v>
      </c>
      <c r="AC260" s="764" t="s">
        <v>912</v>
      </c>
    </row>
    <row r="261" spans="1:32">
      <c r="A261" s="763">
        <f t="shared" si="58"/>
        <v>223</v>
      </c>
      <c r="C261" s="805" t="s">
        <v>990</v>
      </c>
      <c r="E261" s="764" t="s">
        <v>912</v>
      </c>
      <c r="G261" s="764" t="s">
        <v>913</v>
      </c>
      <c r="I261" s="806" t="s">
        <v>940</v>
      </c>
      <c r="K261" s="794">
        <v>200</v>
      </c>
      <c r="M261" s="809">
        <v>1956</v>
      </c>
      <c r="O261" s="782">
        <f>'J-2'!$G$26*365/12</f>
        <v>9.9888333333333339</v>
      </c>
      <c r="Q261" s="807">
        <f t="shared" si="70"/>
        <v>1997.7666666666669</v>
      </c>
      <c r="S261" s="784">
        <f>'J-2'!$I$26</f>
        <v>3.0999999999999999E-3</v>
      </c>
      <c r="U261" s="819">
        <f t="shared" si="71"/>
        <v>6.0636000000000001</v>
      </c>
      <c r="W261" s="797">
        <f t="shared" si="72"/>
        <v>2003.8302666666668</v>
      </c>
      <c r="Y261" s="786">
        <v>1.4E-3</v>
      </c>
      <c r="AA261" s="787">
        <f t="shared" si="69"/>
        <v>2.7383999999999999</v>
      </c>
      <c r="AC261" s="764" t="s">
        <v>912</v>
      </c>
      <c r="AF261" s="795"/>
    </row>
    <row r="262" spans="1:32">
      <c r="A262" s="763">
        <f t="shared" si="58"/>
        <v>224</v>
      </c>
      <c r="C262" s="805" t="s">
        <v>990</v>
      </c>
      <c r="E262" s="764" t="s">
        <v>912</v>
      </c>
      <c r="G262" s="764" t="s">
        <v>913</v>
      </c>
      <c r="I262" s="806" t="s">
        <v>941</v>
      </c>
      <c r="K262" s="794">
        <v>400</v>
      </c>
      <c r="M262" s="809">
        <v>3912</v>
      </c>
      <c r="O262" s="782">
        <f>'J-2'!$G$26*365/12</f>
        <v>9.9888333333333339</v>
      </c>
      <c r="Q262" s="807">
        <f t="shared" si="70"/>
        <v>3995.5333333333338</v>
      </c>
      <c r="S262" s="784">
        <f>'J-2'!$I$26</f>
        <v>3.0999999999999999E-3</v>
      </c>
      <c r="U262" s="819">
        <f t="shared" si="71"/>
        <v>12.1272</v>
      </c>
      <c r="W262" s="797">
        <f t="shared" si="72"/>
        <v>4007.6605333333337</v>
      </c>
      <c r="Y262" s="786">
        <v>1.4E-3</v>
      </c>
      <c r="AA262" s="787">
        <f t="shared" si="69"/>
        <v>5.4767999999999999</v>
      </c>
      <c r="AC262" s="764" t="s">
        <v>912</v>
      </c>
    </row>
    <row r="263" spans="1:32">
      <c r="A263" s="763">
        <f t="shared" si="58"/>
        <v>225</v>
      </c>
      <c r="C263" s="790" t="s">
        <v>960</v>
      </c>
      <c r="I263" s="806"/>
      <c r="K263" s="791">
        <f>SUM(K242:K262)</f>
        <v>209934</v>
      </c>
      <c r="M263" s="792">
        <f>SUM(M242:M262)</f>
        <v>2971353</v>
      </c>
      <c r="Q263" s="834">
        <f>SUM(Q242:Q262)</f>
        <v>2096995.7370000002</v>
      </c>
      <c r="S263" s="819"/>
      <c r="U263" s="834">
        <f>SUM(U242:U262)</f>
        <v>9211.1942999999992</v>
      </c>
      <c r="W263" s="834">
        <f>SUM(W242:W262)</f>
        <v>2106206.9312999998</v>
      </c>
      <c r="AA263" s="793">
        <f>SUM(AA242:AA262)</f>
        <v>4159.8942000000006</v>
      </c>
    </row>
    <row r="264" spans="1:32">
      <c r="A264" s="763" t="str">
        <f t="shared" si="58"/>
        <v/>
      </c>
      <c r="C264" s="790" t="s">
        <v>961</v>
      </c>
      <c r="I264" s="806"/>
      <c r="Q264" s="807"/>
    </row>
    <row r="265" spans="1:32">
      <c r="A265" s="763">
        <v>226</v>
      </c>
      <c r="C265" s="822" t="s">
        <v>958</v>
      </c>
      <c r="D265" s="769"/>
      <c r="E265" s="823" t="s">
        <v>912</v>
      </c>
      <c r="F265" s="823"/>
      <c r="G265" s="823" t="s">
        <v>962</v>
      </c>
      <c r="H265" s="769"/>
      <c r="I265" s="824" t="s">
        <v>964</v>
      </c>
      <c r="J265" s="769"/>
      <c r="K265" s="825">
        <v>0</v>
      </c>
      <c r="M265" s="809">
        <v>6484</v>
      </c>
      <c r="O265" s="782">
        <f>'J-2'!$G$26*365/12</f>
        <v>9.9888333333333339</v>
      </c>
      <c r="Q265" s="807">
        <f t="shared" si="70"/>
        <v>0</v>
      </c>
      <c r="S265" s="784">
        <f>'J-2'!$I$26</f>
        <v>3.0999999999999999E-3</v>
      </c>
      <c r="U265" s="819">
        <f t="shared" si="71"/>
        <v>20.1004</v>
      </c>
      <c r="W265" s="797">
        <f t="shared" si="72"/>
        <v>20.1004</v>
      </c>
      <c r="Y265" s="786">
        <v>1.4E-3</v>
      </c>
      <c r="AA265" s="787">
        <f t="shared" ref="AA265:AA271" si="75">Y265*M265</f>
        <v>9.0776000000000003</v>
      </c>
      <c r="AC265" s="764" t="s">
        <v>912</v>
      </c>
    </row>
    <row r="266" spans="1:32">
      <c r="A266" s="763">
        <f t="shared" si="58"/>
        <v>227</v>
      </c>
      <c r="C266" s="822" t="s">
        <v>932</v>
      </c>
      <c r="D266" s="769"/>
      <c r="E266" s="823" t="s">
        <v>912</v>
      </c>
      <c r="F266" s="823"/>
      <c r="G266" s="823" t="s">
        <v>962</v>
      </c>
      <c r="H266" s="769"/>
      <c r="I266" s="824" t="s">
        <v>965</v>
      </c>
      <c r="J266" s="769"/>
      <c r="K266" s="825">
        <v>0</v>
      </c>
      <c r="M266" s="798">
        <v>4650</v>
      </c>
      <c r="O266" s="782">
        <f>'J-2'!$G$26*365/12</f>
        <v>9.9888333333333339</v>
      </c>
      <c r="Q266" s="807">
        <f t="shared" si="70"/>
        <v>0</v>
      </c>
      <c r="S266" s="784">
        <f>'J-2'!$I$26</f>
        <v>3.0999999999999999E-3</v>
      </c>
      <c r="U266" s="819">
        <f t="shared" si="71"/>
        <v>14.414999999999999</v>
      </c>
      <c r="W266" s="797">
        <f t="shared" si="72"/>
        <v>14.414999999999999</v>
      </c>
      <c r="Y266" s="786">
        <v>1.4E-3</v>
      </c>
      <c r="AA266" s="787">
        <f t="shared" si="75"/>
        <v>6.51</v>
      </c>
      <c r="AC266" s="764" t="s">
        <v>912</v>
      </c>
    </row>
    <row r="267" spans="1:32">
      <c r="A267" s="763">
        <f t="shared" si="58"/>
        <v>228</v>
      </c>
      <c r="C267" s="822" t="s">
        <v>991</v>
      </c>
      <c r="D267" s="769"/>
      <c r="E267" s="823" t="s">
        <v>912</v>
      </c>
      <c r="F267" s="823"/>
      <c r="G267" s="823" t="s">
        <v>962</v>
      </c>
      <c r="H267" s="769"/>
      <c r="I267" s="824" t="s">
        <v>967</v>
      </c>
      <c r="J267" s="769"/>
      <c r="K267" s="825">
        <v>0</v>
      </c>
      <c r="M267" s="798">
        <v>298344</v>
      </c>
      <c r="O267" s="782">
        <f>'J-2'!$G$26*365/12</f>
        <v>9.9888333333333339</v>
      </c>
      <c r="Q267" s="807">
        <f t="shared" si="70"/>
        <v>0</v>
      </c>
      <c r="S267" s="784">
        <f>'J-2'!$I$26</f>
        <v>3.0999999999999999E-3</v>
      </c>
      <c r="U267" s="819">
        <f t="shared" si="71"/>
        <v>924.8664</v>
      </c>
      <c r="W267" s="797">
        <f t="shared" si="72"/>
        <v>924.8664</v>
      </c>
      <c r="Y267" s="786">
        <v>1.4E-3</v>
      </c>
      <c r="AA267" s="787">
        <f t="shared" si="75"/>
        <v>417.6816</v>
      </c>
      <c r="AC267" s="764" t="s">
        <v>912</v>
      </c>
      <c r="AF267" s="797"/>
    </row>
    <row r="268" spans="1:32">
      <c r="A268" s="763">
        <f t="shared" ref="A268:A331" si="76">IF(OR(K268/2&gt;0,M268/2&gt;0),A267+1,"")</f>
        <v>229</v>
      </c>
      <c r="C268" s="822" t="s">
        <v>991</v>
      </c>
      <c r="D268" s="769"/>
      <c r="E268" s="823" t="s">
        <v>912</v>
      </c>
      <c r="F268" s="823"/>
      <c r="G268" s="823" t="s">
        <v>962</v>
      </c>
      <c r="H268" s="769"/>
      <c r="I268" s="824" t="s">
        <v>968</v>
      </c>
      <c r="J268" s="769"/>
      <c r="K268" s="825">
        <v>0</v>
      </c>
      <c r="M268" s="809">
        <v>5253</v>
      </c>
      <c r="O268" s="782">
        <f>'J-2'!$G$26*365/12</f>
        <v>9.9888333333333339</v>
      </c>
      <c r="Q268" s="807">
        <f t="shared" si="70"/>
        <v>0</v>
      </c>
      <c r="S268" s="784">
        <f>'J-2'!$I$26</f>
        <v>3.0999999999999999E-3</v>
      </c>
      <c r="U268" s="819">
        <f t="shared" si="71"/>
        <v>16.284299999999998</v>
      </c>
      <c r="W268" s="797">
        <f t="shared" si="72"/>
        <v>16.284299999999998</v>
      </c>
      <c r="Y268" s="786">
        <v>1.4E-3</v>
      </c>
      <c r="AA268" s="787">
        <f t="shared" si="75"/>
        <v>7.3541999999999996</v>
      </c>
      <c r="AC268" s="764" t="s">
        <v>912</v>
      </c>
    </row>
    <row r="269" spans="1:32">
      <c r="A269" s="763">
        <f t="shared" si="76"/>
        <v>230</v>
      </c>
      <c r="C269" s="822" t="s">
        <v>972</v>
      </c>
      <c r="D269" s="769"/>
      <c r="E269" s="823" t="s">
        <v>912</v>
      </c>
      <c r="F269" s="823"/>
      <c r="G269" s="823" t="s">
        <v>970</v>
      </c>
      <c r="H269" s="769"/>
      <c r="I269" s="824" t="s">
        <v>973</v>
      </c>
      <c r="J269" s="769"/>
      <c r="K269" s="825">
        <v>150</v>
      </c>
      <c r="M269" s="798">
        <v>0</v>
      </c>
      <c r="O269" s="782">
        <f>'J-2'!$G$26*365/12</f>
        <v>9.9888333333333339</v>
      </c>
      <c r="Q269" s="807">
        <f>K269*O269</f>
        <v>1498.325</v>
      </c>
      <c r="S269" s="784">
        <f>'J-2'!$I$26</f>
        <v>3.0999999999999999E-3</v>
      </c>
      <c r="U269" s="819">
        <f t="shared" si="71"/>
        <v>0</v>
      </c>
      <c r="W269" s="797">
        <f t="shared" si="72"/>
        <v>1498.325</v>
      </c>
      <c r="Y269" s="786">
        <v>1.4E-3</v>
      </c>
      <c r="AA269" s="787">
        <f t="shared" si="75"/>
        <v>0</v>
      </c>
      <c r="AC269" s="764" t="s">
        <v>912</v>
      </c>
    </row>
    <row r="270" spans="1:32">
      <c r="A270" s="763">
        <f t="shared" si="76"/>
        <v>231</v>
      </c>
      <c r="C270" s="822" t="s">
        <v>974</v>
      </c>
      <c r="D270" s="769"/>
      <c r="E270" s="823" t="s">
        <v>912</v>
      </c>
      <c r="F270" s="823"/>
      <c r="G270" s="823" t="s">
        <v>970</v>
      </c>
      <c r="H270" s="769"/>
      <c r="I270" s="824" t="s">
        <v>975</v>
      </c>
      <c r="J270" s="769"/>
      <c r="K270" s="825">
        <v>20000</v>
      </c>
      <c r="M270" s="798">
        <v>0</v>
      </c>
      <c r="O270" s="782">
        <f>'J-2'!$G$26*365/12</f>
        <v>9.9888333333333339</v>
      </c>
      <c r="Q270" s="807">
        <f>K270*O270</f>
        <v>199776.66666666669</v>
      </c>
      <c r="S270" s="784">
        <f>'J-2'!$I$26</f>
        <v>3.0999999999999999E-3</v>
      </c>
      <c r="U270" s="819">
        <f t="shared" si="71"/>
        <v>0</v>
      </c>
      <c r="W270" s="797">
        <f t="shared" si="72"/>
        <v>199776.66666666669</v>
      </c>
      <c r="Y270" s="786">
        <v>1.4E-3</v>
      </c>
      <c r="AA270" s="787">
        <f t="shared" si="75"/>
        <v>0</v>
      </c>
      <c r="AC270" s="764" t="s">
        <v>912</v>
      </c>
    </row>
    <row r="271" spans="1:32">
      <c r="A271" s="763">
        <f t="shared" si="76"/>
        <v>232</v>
      </c>
      <c r="C271" s="822" t="s">
        <v>992</v>
      </c>
      <c r="D271" s="769"/>
      <c r="E271" s="823" t="s">
        <v>912</v>
      </c>
      <c r="F271" s="823"/>
      <c r="G271" s="823" t="s">
        <v>970</v>
      </c>
      <c r="H271" s="769"/>
      <c r="I271" s="824" t="s">
        <v>963</v>
      </c>
      <c r="J271" s="769"/>
      <c r="K271" s="826">
        <v>500</v>
      </c>
      <c r="M271" s="809">
        <v>5138</v>
      </c>
      <c r="O271" s="782">
        <f>'J-2'!$G$26*365/12</f>
        <v>9.9888333333333339</v>
      </c>
      <c r="Q271" s="807">
        <f>K271*O271</f>
        <v>4994.416666666667</v>
      </c>
      <c r="S271" s="784">
        <f>'J-2'!$I$26</f>
        <v>3.0999999999999999E-3</v>
      </c>
      <c r="U271" s="819">
        <f t="shared" si="71"/>
        <v>15.9278</v>
      </c>
      <c r="W271" s="797">
        <f t="shared" si="72"/>
        <v>5010.3444666666674</v>
      </c>
      <c r="Y271" s="786">
        <v>1.4E-3</v>
      </c>
      <c r="AA271" s="787">
        <f t="shared" si="75"/>
        <v>7.1932</v>
      </c>
      <c r="AC271" s="764" t="s">
        <v>912</v>
      </c>
    </row>
    <row r="272" spans="1:32">
      <c r="A272" s="763">
        <f t="shared" si="76"/>
        <v>233</v>
      </c>
      <c r="C272" s="770" t="s">
        <v>976</v>
      </c>
      <c r="D272" s="769"/>
      <c r="E272" s="823"/>
      <c r="F272" s="823"/>
      <c r="G272" s="823"/>
      <c r="H272" s="769"/>
      <c r="I272" s="824"/>
      <c r="J272" s="769"/>
      <c r="K272" s="835">
        <f>SUM(K265:K271)</f>
        <v>20650</v>
      </c>
      <c r="M272" s="792">
        <f>SUM(M265:M271)</f>
        <v>319869</v>
      </c>
      <c r="Q272" s="834">
        <f>SUM(Q265:Q271)</f>
        <v>206269.40833333335</v>
      </c>
      <c r="U272" s="834">
        <f>SUM(U265:U271)</f>
        <v>991.59390000000008</v>
      </c>
      <c r="W272" s="834">
        <f>SUM(W265:W271)</f>
        <v>207261.00223333336</v>
      </c>
      <c r="AA272" s="793">
        <f>SUM(AA265:AA271)</f>
        <v>447.81659999999999</v>
      </c>
    </row>
    <row r="273" spans="1:29">
      <c r="A273" s="763" t="str">
        <f t="shared" si="76"/>
        <v/>
      </c>
      <c r="C273" s="770" t="s">
        <v>877</v>
      </c>
      <c r="D273" s="769"/>
      <c r="E273" s="823"/>
      <c r="F273" s="823"/>
      <c r="G273" s="823"/>
      <c r="H273" s="769"/>
      <c r="I273" s="824"/>
      <c r="J273" s="769"/>
      <c r="K273" s="836"/>
      <c r="Q273" s="807"/>
    </row>
    <row r="274" spans="1:29">
      <c r="A274" s="763">
        <v>234</v>
      </c>
      <c r="C274" s="822" t="s">
        <v>932</v>
      </c>
      <c r="D274" s="769"/>
      <c r="E274" s="823" t="s">
        <v>912</v>
      </c>
      <c r="F274" s="823"/>
      <c r="G274" s="823" t="s">
        <v>977</v>
      </c>
      <c r="H274" s="769"/>
      <c r="I274" s="824" t="s">
        <v>978</v>
      </c>
      <c r="J274" s="769"/>
      <c r="K274" s="836">
        <v>0</v>
      </c>
      <c r="M274" s="809">
        <v>27932</v>
      </c>
      <c r="O274" s="819">
        <v>0</v>
      </c>
      <c r="Q274" s="807">
        <f t="shared" si="70"/>
        <v>0</v>
      </c>
      <c r="S274" s="784">
        <f>'J-2'!$K$28</f>
        <v>0.33150000000000002</v>
      </c>
      <c r="U274" s="807">
        <f>S274*M274</f>
        <v>9259.4580000000005</v>
      </c>
      <c r="W274" s="797">
        <f>U274+Q274</f>
        <v>9259.4580000000005</v>
      </c>
      <c r="Y274" s="786">
        <v>1.4E-3</v>
      </c>
      <c r="AA274" s="787">
        <f>Y274*M274</f>
        <v>39.104799999999997</v>
      </c>
      <c r="AC274" s="764" t="s">
        <v>912</v>
      </c>
    </row>
    <row r="275" spans="1:29">
      <c r="A275" s="763">
        <f t="shared" si="76"/>
        <v>235</v>
      </c>
      <c r="C275" s="770" t="s">
        <v>982</v>
      </c>
      <c r="D275" s="769"/>
      <c r="E275" s="823"/>
      <c r="F275" s="823"/>
      <c r="G275" s="823"/>
      <c r="H275" s="769"/>
      <c r="I275" s="823"/>
      <c r="J275" s="769"/>
      <c r="K275" s="835">
        <f>SUM(K274)</f>
        <v>0</v>
      </c>
      <c r="M275" s="792">
        <f>SUM(M274)</f>
        <v>27932</v>
      </c>
      <c r="Q275" s="834">
        <f>SUM(Q274)</f>
        <v>0</v>
      </c>
      <c r="U275" s="792">
        <f>SUM(U274)</f>
        <v>9259.4580000000005</v>
      </c>
      <c r="W275" s="834">
        <f>SUM(W274)</f>
        <v>9259.4580000000005</v>
      </c>
      <c r="AA275" s="793">
        <f>SUM(AA274)</f>
        <v>39.104799999999997</v>
      </c>
    </row>
    <row r="276" spans="1:29">
      <c r="A276" s="763" t="str">
        <f t="shared" si="76"/>
        <v/>
      </c>
    </row>
    <row r="277" spans="1:29">
      <c r="A277" s="763" t="str">
        <f t="shared" si="76"/>
        <v/>
      </c>
      <c r="C277" s="768" t="s">
        <v>994</v>
      </c>
      <c r="D277" s="768"/>
      <c r="E277" s="802"/>
      <c r="F277" s="802"/>
      <c r="G277" s="802"/>
      <c r="H277" s="768"/>
      <c r="I277" s="802"/>
      <c r="J277" s="768"/>
      <c r="K277" s="803"/>
      <c r="L277" s="768"/>
      <c r="M277" s="804"/>
      <c r="N277" s="768"/>
      <c r="O277" s="768"/>
      <c r="P277" s="768"/>
      <c r="Q277" s="768"/>
      <c r="R277" s="768"/>
      <c r="S277" s="768"/>
      <c r="T277" s="768"/>
      <c r="U277" s="768"/>
      <c r="V277" s="768"/>
      <c r="W277" s="768"/>
      <c r="X277" s="768"/>
      <c r="Y277" s="768"/>
      <c r="Z277" s="768"/>
      <c r="AA277" s="768"/>
      <c r="AB277" s="768"/>
      <c r="AC277" s="768"/>
    </row>
    <row r="278" spans="1:29">
      <c r="A278" s="763" t="str">
        <f t="shared" si="76"/>
        <v/>
      </c>
      <c r="C278" s="770" t="s">
        <v>876</v>
      </c>
    </row>
    <row r="279" spans="1:29">
      <c r="A279" s="763">
        <v>236</v>
      </c>
      <c r="C279" s="805" t="s">
        <v>911</v>
      </c>
      <c r="E279" s="764" t="s">
        <v>912</v>
      </c>
      <c r="G279" s="764" t="s">
        <v>913</v>
      </c>
      <c r="I279" s="806" t="s">
        <v>914</v>
      </c>
      <c r="K279" s="794">
        <v>105750</v>
      </c>
      <c r="M279" s="798">
        <v>1993271</v>
      </c>
      <c r="O279" s="782">
        <f>'J-2'!$G$26*365/12</f>
        <v>9.9888333333333339</v>
      </c>
      <c r="Q279" s="807">
        <f>K279*O279</f>
        <v>1056319.125</v>
      </c>
      <c r="S279" s="784">
        <f>'J-2'!$I$26</f>
        <v>3.0999999999999999E-3</v>
      </c>
      <c r="U279" s="819">
        <f t="shared" ref="U279:U299" si="77">M279*S279</f>
        <v>6179.1400999999996</v>
      </c>
      <c r="W279" s="797">
        <f t="shared" ref="W279:W299" si="78">Q279+U279</f>
        <v>1062498.2651</v>
      </c>
      <c r="Y279" s="786">
        <v>1.4E-3</v>
      </c>
      <c r="AA279" s="787">
        <f t="shared" ref="AA279:AA299" si="79">Y279*M279</f>
        <v>2790.5794000000001</v>
      </c>
      <c r="AC279" s="764" t="s">
        <v>912</v>
      </c>
    </row>
    <row r="280" spans="1:29">
      <c r="A280" s="763">
        <f t="shared" si="76"/>
        <v>237</v>
      </c>
      <c r="C280" s="805" t="s">
        <v>915</v>
      </c>
      <c r="E280" s="764" t="s">
        <v>912</v>
      </c>
      <c r="G280" s="764" t="s">
        <v>913</v>
      </c>
      <c r="I280" s="806" t="s">
        <v>916</v>
      </c>
      <c r="K280" s="794">
        <v>200</v>
      </c>
      <c r="M280" s="809">
        <v>155</v>
      </c>
      <c r="O280" s="782">
        <f>'J-2'!$G$26*365/12</f>
        <v>9.9888333333333339</v>
      </c>
      <c r="Q280" s="807">
        <f t="shared" ref="Q280:Q299" si="80">K280*O280</f>
        <v>1997.7666666666669</v>
      </c>
      <c r="S280" s="784">
        <f>'J-2'!$I$26</f>
        <v>3.0999999999999999E-3</v>
      </c>
      <c r="U280" s="819">
        <f t="shared" si="77"/>
        <v>0.48049999999999998</v>
      </c>
      <c r="W280" s="797">
        <f t="shared" si="78"/>
        <v>1998.2471666666668</v>
      </c>
      <c r="Y280" s="786">
        <v>1.4E-3</v>
      </c>
      <c r="AA280" s="787">
        <f t="shared" si="79"/>
        <v>0.217</v>
      </c>
      <c r="AC280" s="764" t="s">
        <v>912</v>
      </c>
    </row>
    <row r="281" spans="1:29">
      <c r="A281" s="763">
        <f t="shared" si="76"/>
        <v>238</v>
      </c>
      <c r="C281" s="805" t="s">
        <v>917</v>
      </c>
      <c r="E281" s="764" t="s">
        <v>912</v>
      </c>
      <c r="G281" s="764" t="s">
        <v>913</v>
      </c>
      <c r="I281" s="806" t="s">
        <v>918</v>
      </c>
      <c r="K281" s="794">
        <v>1200</v>
      </c>
      <c r="M281" s="809">
        <v>1447</v>
      </c>
      <c r="O281" s="782">
        <f>'J-2'!$G$26*365/12</f>
        <v>9.9888333333333339</v>
      </c>
      <c r="Q281" s="807">
        <f t="shared" si="80"/>
        <v>11986.6</v>
      </c>
      <c r="S281" s="784">
        <f>'J-2'!$I$26</f>
        <v>3.0999999999999999E-3</v>
      </c>
      <c r="U281" s="819">
        <f t="shared" si="77"/>
        <v>4.4856999999999996</v>
      </c>
      <c r="W281" s="797">
        <f t="shared" si="78"/>
        <v>11991.0857</v>
      </c>
      <c r="Y281" s="786">
        <v>1.4E-3</v>
      </c>
      <c r="AA281" s="787">
        <f t="shared" si="79"/>
        <v>2.0257999999999998</v>
      </c>
      <c r="AC281" s="764" t="s">
        <v>912</v>
      </c>
    </row>
    <row r="282" spans="1:29">
      <c r="A282" s="763">
        <f t="shared" si="76"/>
        <v>239</v>
      </c>
      <c r="C282" s="805" t="s">
        <v>919</v>
      </c>
      <c r="E282" s="764" t="s">
        <v>912</v>
      </c>
      <c r="G282" s="764" t="s">
        <v>913</v>
      </c>
      <c r="I282" s="806" t="s">
        <v>920</v>
      </c>
      <c r="K282" s="794">
        <v>1550</v>
      </c>
      <c r="M282" s="798">
        <v>0</v>
      </c>
      <c r="O282" s="782">
        <f>'J-2'!$G$26*365/12</f>
        <v>9.9888333333333339</v>
      </c>
      <c r="Q282" s="807">
        <f t="shared" si="80"/>
        <v>15482.691666666668</v>
      </c>
      <c r="S282" s="784">
        <f>'J-2'!$I$26</f>
        <v>3.0999999999999999E-3</v>
      </c>
      <c r="U282" s="819">
        <f t="shared" si="77"/>
        <v>0</v>
      </c>
      <c r="W282" s="797">
        <f t="shared" si="78"/>
        <v>15482.691666666668</v>
      </c>
      <c r="Y282" s="786">
        <v>1.4E-3</v>
      </c>
      <c r="AA282" s="787">
        <f t="shared" si="79"/>
        <v>0</v>
      </c>
      <c r="AC282" s="764" t="s">
        <v>912</v>
      </c>
    </row>
    <row r="283" spans="1:29">
      <c r="A283" s="763">
        <f t="shared" si="76"/>
        <v>240</v>
      </c>
      <c r="C283" s="805" t="s">
        <v>911</v>
      </c>
      <c r="E283" s="764" t="s">
        <v>912</v>
      </c>
      <c r="G283" s="764" t="s">
        <v>913</v>
      </c>
      <c r="I283" s="806" t="s">
        <v>921</v>
      </c>
      <c r="K283" s="794">
        <v>10000</v>
      </c>
      <c r="M283" s="809">
        <v>310000</v>
      </c>
      <c r="O283" s="782">
        <f>'J-2'!$G$26*365/12</f>
        <v>9.9888333333333339</v>
      </c>
      <c r="Q283" s="807">
        <f t="shared" si="80"/>
        <v>99888.333333333343</v>
      </c>
      <c r="S283" s="784">
        <f>'J-2'!$I$26</f>
        <v>3.0999999999999999E-3</v>
      </c>
      <c r="U283" s="819">
        <f t="shared" si="77"/>
        <v>961</v>
      </c>
      <c r="W283" s="797">
        <f t="shared" si="78"/>
        <v>100849.33333333334</v>
      </c>
      <c r="Y283" s="786">
        <v>1.4E-3</v>
      </c>
      <c r="AA283" s="787">
        <f t="shared" si="79"/>
        <v>434</v>
      </c>
      <c r="AC283" s="764" t="s">
        <v>912</v>
      </c>
    </row>
    <row r="284" spans="1:29">
      <c r="A284" s="763">
        <f t="shared" si="76"/>
        <v>241</v>
      </c>
      <c r="C284" s="805" t="s">
        <v>922</v>
      </c>
      <c r="E284" s="764" t="s">
        <v>912</v>
      </c>
      <c r="G284" s="764" t="s">
        <v>913</v>
      </c>
      <c r="I284" s="806" t="s">
        <v>923</v>
      </c>
      <c r="K284" s="794">
        <v>200</v>
      </c>
      <c r="M284" s="798">
        <v>0</v>
      </c>
      <c r="O284" s="782">
        <f>'J-2'!$G$26*365/12</f>
        <v>9.9888333333333339</v>
      </c>
      <c r="Q284" s="807">
        <f t="shared" si="80"/>
        <v>1997.7666666666669</v>
      </c>
      <c r="S284" s="784">
        <f>'J-2'!$I$26</f>
        <v>3.0999999999999999E-3</v>
      </c>
      <c r="U284" s="819">
        <f t="shared" si="77"/>
        <v>0</v>
      </c>
      <c r="W284" s="797">
        <f t="shared" si="78"/>
        <v>1997.7666666666669</v>
      </c>
      <c r="Y284" s="786">
        <v>1.4E-3</v>
      </c>
      <c r="AA284" s="787">
        <f t="shared" si="79"/>
        <v>0</v>
      </c>
      <c r="AC284" s="764" t="s">
        <v>912</v>
      </c>
    </row>
    <row r="285" spans="1:29">
      <c r="A285" s="763">
        <f t="shared" si="76"/>
        <v>242</v>
      </c>
      <c r="C285" s="805" t="s">
        <v>989</v>
      </c>
      <c r="E285" s="764" t="s">
        <v>912</v>
      </c>
      <c r="G285" s="764" t="s">
        <v>913</v>
      </c>
      <c r="I285" s="806" t="s">
        <v>925</v>
      </c>
      <c r="K285" s="794">
        <v>550</v>
      </c>
      <c r="M285" s="809">
        <v>3500</v>
      </c>
      <c r="O285" s="782">
        <f>'J-2'!$G$26*365/12</f>
        <v>9.9888333333333339</v>
      </c>
      <c r="Q285" s="807">
        <f t="shared" si="80"/>
        <v>5493.8583333333336</v>
      </c>
      <c r="S285" s="784">
        <f>'J-2'!$I$26</f>
        <v>3.0999999999999999E-3</v>
      </c>
      <c r="U285" s="819">
        <f t="shared" si="77"/>
        <v>10.85</v>
      </c>
      <c r="W285" s="797">
        <f t="shared" si="78"/>
        <v>5504.7083333333339</v>
      </c>
      <c r="Y285" s="786">
        <v>1.4E-3</v>
      </c>
      <c r="AA285" s="787">
        <f t="shared" si="79"/>
        <v>4.9000000000000004</v>
      </c>
      <c r="AC285" s="764" t="s">
        <v>912</v>
      </c>
    </row>
    <row r="286" spans="1:29">
      <c r="A286" s="763">
        <f t="shared" si="76"/>
        <v>243</v>
      </c>
      <c r="C286" s="805" t="s">
        <v>911</v>
      </c>
      <c r="E286" s="764" t="s">
        <v>912</v>
      </c>
      <c r="G286" s="764" t="s">
        <v>913</v>
      </c>
      <c r="I286" s="806" t="s">
        <v>926</v>
      </c>
      <c r="K286" s="794">
        <v>5661</v>
      </c>
      <c r="M286" s="809">
        <v>175491</v>
      </c>
      <c r="O286" s="782">
        <f>'J-2'!$G$26*365/12</f>
        <v>9.9888333333333339</v>
      </c>
      <c r="Q286" s="807">
        <f t="shared" si="80"/>
        <v>56546.785500000005</v>
      </c>
      <c r="S286" s="784">
        <f>'J-2'!$I$26</f>
        <v>3.0999999999999999E-3</v>
      </c>
      <c r="U286" s="819">
        <f t="shared" si="77"/>
        <v>544.02210000000002</v>
      </c>
      <c r="W286" s="797">
        <f t="shared" si="78"/>
        <v>57090.807600000007</v>
      </c>
      <c r="Y286" s="786">
        <v>1.4E-3</v>
      </c>
      <c r="AA286" s="787">
        <f t="shared" si="79"/>
        <v>245.6874</v>
      </c>
      <c r="AC286" s="764" t="s">
        <v>912</v>
      </c>
    </row>
    <row r="287" spans="1:29">
      <c r="A287" s="763">
        <f t="shared" si="76"/>
        <v>244</v>
      </c>
      <c r="C287" s="805" t="s">
        <v>911</v>
      </c>
      <c r="E287" s="764" t="s">
        <v>912</v>
      </c>
      <c r="G287" s="764" t="s">
        <v>913</v>
      </c>
      <c r="I287" s="806" t="s">
        <v>927</v>
      </c>
      <c r="K287" s="794">
        <v>5690</v>
      </c>
      <c r="M287" s="809">
        <v>176390</v>
      </c>
      <c r="O287" s="782">
        <f>'J-2'!$G$26*365/12</f>
        <v>9.9888333333333339</v>
      </c>
      <c r="Q287" s="807">
        <f t="shared" si="80"/>
        <v>56836.46166666667</v>
      </c>
      <c r="S287" s="784">
        <f>'J-2'!$I$26</f>
        <v>3.0999999999999999E-3</v>
      </c>
      <c r="U287" s="819">
        <f t="shared" si="77"/>
        <v>546.80899999999997</v>
      </c>
      <c r="W287" s="797">
        <f t="shared" si="78"/>
        <v>57383.270666666671</v>
      </c>
      <c r="Y287" s="786">
        <v>1.4E-3</v>
      </c>
      <c r="AA287" s="787">
        <f t="shared" si="79"/>
        <v>246.946</v>
      </c>
      <c r="AC287" s="764" t="s">
        <v>912</v>
      </c>
    </row>
    <row r="288" spans="1:29">
      <c r="A288" s="763">
        <f t="shared" si="76"/>
        <v>245</v>
      </c>
      <c r="C288" s="805" t="s">
        <v>928</v>
      </c>
      <c r="E288" s="764" t="s">
        <v>912</v>
      </c>
      <c r="G288" s="764" t="s">
        <v>913</v>
      </c>
      <c r="I288" s="806" t="s">
        <v>929</v>
      </c>
      <c r="K288" s="794">
        <v>8000</v>
      </c>
      <c r="M288" s="798">
        <v>0</v>
      </c>
      <c r="O288" s="782">
        <f>'J-2'!$G$26*365/12</f>
        <v>9.9888333333333339</v>
      </c>
      <c r="Q288" s="807">
        <f t="shared" si="80"/>
        <v>79910.666666666672</v>
      </c>
      <c r="S288" s="784">
        <f>'J-2'!$I$26</f>
        <v>3.0999999999999999E-3</v>
      </c>
      <c r="U288" s="819">
        <f t="shared" si="77"/>
        <v>0</v>
      </c>
      <c r="W288" s="797">
        <f t="shared" si="78"/>
        <v>79910.666666666672</v>
      </c>
      <c r="Y288" s="786">
        <v>1.4E-3</v>
      </c>
      <c r="AA288" s="787">
        <f t="shared" si="79"/>
        <v>0</v>
      </c>
      <c r="AC288" s="764" t="s">
        <v>912</v>
      </c>
    </row>
    <row r="289" spans="1:29">
      <c r="A289" s="763">
        <f t="shared" si="76"/>
        <v>246</v>
      </c>
      <c r="C289" s="805" t="s">
        <v>928</v>
      </c>
      <c r="E289" s="764" t="s">
        <v>912</v>
      </c>
      <c r="G289" s="764" t="s">
        <v>913</v>
      </c>
      <c r="I289" s="806" t="s">
        <v>930</v>
      </c>
      <c r="K289" s="794">
        <v>16500</v>
      </c>
      <c r="M289" s="798">
        <v>0</v>
      </c>
      <c r="O289" s="782">
        <f>'J-2'!$G$26*365/12</f>
        <v>9.9888333333333339</v>
      </c>
      <c r="Q289" s="807">
        <f t="shared" si="80"/>
        <v>164815.75</v>
      </c>
      <c r="S289" s="784">
        <f>'J-2'!$I$26</f>
        <v>3.0999999999999999E-3</v>
      </c>
      <c r="U289" s="819">
        <f t="shared" si="77"/>
        <v>0</v>
      </c>
      <c r="W289" s="797">
        <f t="shared" si="78"/>
        <v>164815.75</v>
      </c>
      <c r="Y289" s="786">
        <v>1.4E-3</v>
      </c>
      <c r="AA289" s="787">
        <f t="shared" si="79"/>
        <v>0</v>
      </c>
      <c r="AC289" s="764" t="s">
        <v>912</v>
      </c>
    </row>
    <row r="290" spans="1:29">
      <c r="A290" s="763">
        <f t="shared" si="76"/>
        <v>247</v>
      </c>
      <c r="C290" s="775" t="s">
        <v>928</v>
      </c>
      <c r="D290" s="776"/>
      <c r="E290" s="777" t="s">
        <v>912</v>
      </c>
      <c r="F290" s="777"/>
      <c r="G290" s="777" t="s">
        <v>913</v>
      </c>
      <c r="H290" s="776"/>
      <c r="I290" s="778" t="s">
        <v>1021</v>
      </c>
      <c r="J290" s="776"/>
      <c r="K290" s="779">
        <v>5951</v>
      </c>
      <c r="L290" s="780"/>
      <c r="M290" s="789">
        <f>K290*365/12*'G-1 '!$M$504</f>
        <v>0</v>
      </c>
      <c r="N290" s="776"/>
      <c r="O290" s="782">
        <f>'J-2'!$G$26*365/12</f>
        <v>9.9888333333333339</v>
      </c>
      <c r="P290" s="776"/>
      <c r="Q290" s="783">
        <f t="shared" si="80"/>
        <v>59443.547166666671</v>
      </c>
      <c r="R290" s="776"/>
      <c r="S290" s="784">
        <f>'J-2'!$I$26</f>
        <v>3.0999999999999999E-3</v>
      </c>
      <c r="T290" s="776"/>
      <c r="U290" s="785">
        <f t="shared" ref="U290" si="81">S290*M290</f>
        <v>0</v>
      </c>
      <c r="V290" s="776"/>
      <c r="W290" s="783">
        <f t="shared" ref="W290" si="82">U290+Q290</f>
        <v>59443.547166666671</v>
      </c>
      <c r="Y290" s="786">
        <v>1.4E-3</v>
      </c>
      <c r="AA290" s="787">
        <f t="shared" si="79"/>
        <v>0</v>
      </c>
      <c r="AC290" s="764" t="s">
        <v>912</v>
      </c>
    </row>
    <row r="291" spans="1:29">
      <c r="A291" s="763">
        <f t="shared" si="76"/>
        <v>248</v>
      </c>
      <c r="C291" s="805" t="s">
        <v>911</v>
      </c>
      <c r="E291" s="764" t="s">
        <v>912</v>
      </c>
      <c r="G291" s="764" t="s">
        <v>913</v>
      </c>
      <c r="I291" s="806" t="s">
        <v>931</v>
      </c>
      <c r="K291" s="794">
        <v>5722</v>
      </c>
      <c r="M291" s="809">
        <v>177382</v>
      </c>
      <c r="O291" s="782">
        <f>'J-2'!$G$26*365/12</f>
        <v>9.9888333333333339</v>
      </c>
      <c r="Q291" s="807">
        <f t="shared" si="80"/>
        <v>57156.104333333336</v>
      </c>
      <c r="S291" s="784">
        <f>'J-2'!$I$26</f>
        <v>3.0999999999999999E-3</v>
      </c>
      <c r="U291" s="819">
        <f t="shared" si="77"/>
        <v>549.88419999999996</v>
      </c>
      <c r="W291" s="797">
        <f t="shared" si="78"/>
        <v>57705.988533333337</v>
      </c>
      <c r="Y291" s="786">
        <v>1.4E-3</v>
      </c>
      <c r="AA291" s="787">
        <f t="shared" si="79"/>
        <v>248.3348</v>
      </c>
      <c r="AC291" s="764" t="s">
        <v>912</v>
      </c>
    </row>
    <row r="292" spans="1:29">
      <c r="A292" s="763">
        <f t="shared" si="76"/>
        <v>249</v>
      </c>
      <c r="C292" s="805" t="s">
        <v>932</v>
      </c>
      <c r="E292" s="764" t="s">
        <v>912</v>
      </c>
      <c r="G292" s="764" t="s">
        <v>913</v>
      </c>
      <c r="I292" s="806" t="s">
        <v>933</v>
      </c>
      <c r="K292" s="794">
        <v>760</v>
      </c>
      <c r="M292" s="809">
        <v>23543</v>
      </c>
      <c r="O292" s="782">
        <f>'J-2'!$G$26*365/12</f>
        <v>9.9888333333333339</v>
      </c>
      <c r="Q292" s="807">
        <f t="shared" si="80"/>
        <v>7591.5133333333333</v>
      </c>
      <c r="S292" s="784">
        <f>'J-2'!$I$26</f>
        <v>3.0999999999999999E-3</v>
      </c>
      <c r="U292" s="819">
        <f t="shared" si="77"/>
        <v>72.9833</v>
      </c>
      <c r="W292" s="797">
        <f t="shared" si="78"/>
        <v>7664.4966333333332</v>
      </c>
      <c r="Y292" s="786">
        <v>1.4E-3</v>
      </c>
      <c r="AA292" s="787">
        <f t="shared" si="79"/>
        <v>32.9602</v>
      </c>
      <c r="AC292" s="764" t="s">
        <v>912</v>
      </c>
    </row>
    <row r="293" spans="1:29">
      <c r="A293" s="763">
        <f t="shared" si="76"/>
        <v>250</v>
      </c>
      <c r="C293" s="805" t="s">
        <v>922</v>
      </c>
      <c r="E293" s="764" t="s">
        <v>912</v>
      </c>
      <c r="G293" s="764" t="s">
        <v>913</v>
      </c>
      <c r="I293" s="806" t="s">
        <v>934</v>
      </c>
      <c r="K293" s="794">
        <v>150</v>
      </c>
      <c r="M293" s="798">
        <v>0</v>
      </c>
      <c r="O293" s="782">
        <f>'J-2'!$G$26*365/12</f>
        <v>9.9888333333333339</v>
      </c>
      <c r="Q293" s="807">
        <f t="shared" si="80"/>
        <v>1498.325</v>
      </c>
      <c r="S293" s="784">
        <f>'J-2'!$I$26</f>
        <v>3.0999999999999999E-3</v>
      </c>
      <c r="U293" s="819">
        <f t="shared" si="77"/>
        <v>0</v>
      </c>
      <c r="W293" s="797">
        <f t="shared" si="78"/>
        <v>1498.325</v>
      </c>
      <c r="Y293" s="786">
        <v>1.4E-3</v>
      </c>
      <c r="AA293" s="787">
        <f t="shared" si="79"/>
        <v>0</v>
      </c>
      <c r="AC293" s="764" t="s">
        <v>912</v>
      </c>
    </row>
    <row r="294" spans="1:29">
      <c r="A294" s="763">
        <f t="shared" si="76"/>
        <v>251</v>
      </c>
      <c r="C294" s="805" t="s">
        <v>922</v>
      </c>
      <c r="E294" s="764" t="s">
        <v>912</v>
      </c>
      <c r="G294" s="764" t="s">
        <v>913</v>
      </c>
      <c r="I294" s="806" t="s">
        <v>935</v>
      </c>
      <c r="K294" s="794">
        <v>250</v>
      </c>
      <c r="M294" s="798">
        <v>0</v>
      </c>
      <c r="O294" s="782">
        <f>'J-2'!$G$26*365/12</f>
        <v>9.9888333333333339</v>
      </c>
      <c r="Q294" s="807">
        <f t="shared" si="80"/>
        <v>2497.2083333333335</v>
      </c>
      <c r="S294" s="784">
        <f>'J-2'!$I$26</f>
        <v>3.0999999999999999E-3</v>
      </c>
      <c r="U294" s="819">
        <f t="shared" si="77"/>
        <v>0</v>
      </c>
      <c r="W294" s="797">
        <f t="shared" si="78"/>
        <v>2497.2083333333335</v>
      </c>
      <c r="Y294" s="786">
        <v>1.4E-3</v>
      </c>
      <c r="AA294" s="787">
        <f t="shared" si="79"/>
        <v>0</v>
      </c>
      <c r="AC294" s="764" t="s">
        <v>912</v>
      </c>
    </row>
    <row r="295" spans="1:29">
      <c r="A295" s="763">
        <f t="shared" si="76"/>
        <v>252</v>
      </c>
      <c r="C295" s="805" t="s">
        <v>922</v>
      </c>
      <c r="E295" s="764" t="s">
        <v>912</v>
      </c>
      <c r="G295" s="764" t="s">
        <v>913</v>
      </c>
      <c r="I295" s="806" t="s">
        <v>936</v>
      </c>
      <c r="K295" s="794">
        <v>400</v>
      </c>
      <c r="M295" s="809">
        <v>3150</v>
      </c>
      <c r="O295" s="782">
        <f>'J-2'!$G$26*365/12</f>
        <v>9.9888333333333339</v>
      </c>
      <c r="Q295" s="807">
        <f t="shared" si="80"/>
        <v>3995.5333333333338</v>
      </c>
      <c r="S295" s="784">
        <f>'J-2'!$I$26</f>
        <v>3.0999999999999999E-3</v>
      </c>
      <c r="U295" s="819">
        <f t="shared" si="77"/>
        <v>9.7649999999999988</v>
      </c>
      <c r="W295" s="797">
        <f t="shared" si="78"/>
        <v>4005.2983333333336</v>
      </c>
      <c r="Y295" s="786">
        <v>1.4E-3</v>
      </c>
      <c r="AA295" s="787">
        <f t="shared" si="79"/>
        <v>4.41</v>
      </c>
      <c r="AC295" s="764" t="s">
        <v>912</v>
      </c>
    </row>
    <row r="296" spans="1:29">
      <c r="A296" s="763">
        <f t="shared" si="76"/>
        <v>253</v>
      </c>
      <c r="C296" s="805" t="s">
        <v>911</v>
      </c>
      <c r="E296" s="764" t="s">
        <v>912</v>
      </c>
      <c r="G296" s="764" t="s">
        <v>913</v>
      </c>
      <c r="I296" s="806" t="s">
        <v>937</v>
      </c>
      <c r="K296" s="794">
        <v>40000</v>
      </c>
      <c r="M296" s="809">
        <v>155000</v>
      </c>
      <c r="O296" s="782">
        <f>'J-2'!$G$26*365/12</f>
        <v>9.9888333333333339</v>
      </c>
      <c r="Q296" s="807">
        <f t="shared" si="80"/>
        <v>399553.33333333337</v>
      </c>
      <c r="S296" s="784">
        <f>'J-2'!$I$26</f>
        <v>3.0999999999999999E-3</v>
      </c>
      <c r="U296" s="819">
        <f t="shared" si="77"/>
        <v>480.5</v>
      </c>
      <c r="W296" s="797">
        <f t="shared" si="78"/>
        <v>400033.83333333337</v>
      </c>
      <c r="Y296" s="786">
        <v>1.4E-3</v>
      </c>
      <c r="AA296" s="787">
        <f t="shared" si="79"/>
        <v>217</v>
      </c>
      <c r="AC296" s="764" t="s">
        <v>912</v>
      </c>
    </row>
    <row r="297" spans="1:29">
      <c r="A297" s="763">
        <f t="shared" si="76"/>
        <v>254</v>
      </c>
      <c r="C297" s="805" t="s">
        <v>990</v>
      </c>
      <c r="E297" s="764" t="s">
        <v>912</v>
      </c>
      <c r="G297" s="764" t="s">
        <v>913</v>
      </c>
      <c r="I297" s="806" t="s">
        <v>939</v>
      </c>
      <c r="K297" s="794">
        <v>800</v>
      </c>
      <c r="M297" s="809">
        <v>24800</v>
      </c>
      <c r="O297" s="782">
        <f>'J-2'!$G$26*365/12</f>
        <v>9.9888333333333339</v>
      </c>
      <c r="Q297" s="807">
        <f t="shared" si="80"/>
        <v>7991.0666666666675</v>
      </c>
      <c r="S297" s="784">
        <f>'J-2'!$I$26</f>
        <v>3.0999999999999999E-3</v>
      </c>
      <c r="U297" s="819">
        <f t="shared" si="77"/>
        <v>76.88</v>
      </c>
      <c r="W297" s="797">
        <f t="shared" si="78"/>
        <v>8067.9466666666676</v>
      </c>
      <c r="Y297" s="786">
        <v>1.4E-3</v>
      </c>
      <c r="AA297" s="787">
        <f t="shared" si="79"/>
        <v>34.72</v>
      </c>
      <c r="AC297" s="764" t="s">
        <v>912</v>
      </c>
    </row>
    <row r="298" spans="1:29">
      <c r="A298" s="763">
        <f t="shared" si="76"/>
        <v>255</v>
      </c>
      <c r="C298" s="805" t="s">
        <v>990</v>
      </c>
      <c r="E298" s="764" t="s">
        <v>912</v>
      </c>
      <c r="G298" s="764" t="s">
        <v>913</v>
      </c>
      <c r="I298" s="806" t="s">
        <v>940</v>
      </c>
      <c r="K298" s="794">
        <v>200</v>
      </c>
      <c r="M298" s="809">
        <v>3650</v>
      </c>
      <c r="O298" s="782">
        <f>'J-2'!$G$26*365/12</f>
        <v>9.9888333333333339</v>
      </c>
      <c r="Q298" s="807">
        <f t="shared" si="80"/>
        <v>1997.7666666666669</v>
      </c>
      <c r="S298" s="784">
        <f>'J-2'!$I$26</f>
        <v>3.0999999999999999E-3</v>
      </c>
      <c r="U298" s="819">
        <f t="shared" si="77"/>
        <v>11.315</v>
      </c>
      <c r="W298" s="797">
        <f t="shared" si="78"/>
        <v>2009.0816666666669</v>
      </c>
      <c r="Y298" s="786">
        <v>1.4E-3</v>
      </c>
      <c r="AA298" s="787">
        <f t="shared" si="79"/>
        <v>5.1100000000000003</v>
      </c>
      <c r="AC298" s="764" t="s">
        <v>912</v>
      </c>
    </row>
    <row r="299" spans="1:29">
      <c r="A299" s="763">
        <f t="shared" si="76"/>
        <v>256</v>
      </c>
      <c r="C299" s="805" t="s">
        <v>990</v>
      </c>
      <c r="E299" s="764" t="s">
        <v>912</v>
      </c>
      <c r="G299" s="764" t="s">
        <v>913</v>
      </c>
      <c r="I299" s="806" t="s">
        <v>941</v>
      </c>
      <c r="K299" s="794">
        <v>400</v>
      </c>
      <c r="M299" s="809">
        <v>12400</v>
      </c>
      <c r="O299" s="782">
        <f>'J-2'!$G$26*365/12</f>
        <v>9.9888333333333339</v>
      </c>
      <c r="Q299" s="807">
        <f t="shared" si="80"/>
        <v>3995.5333333333338</v>
      </c>
      <c r="S299" s="784">
        <f>'J-2'!$I$26</f>
        <v>3.0999999999999999E-3</v>
      </c>
      <c r="U299" s="819">
        <f t="shared" si="77"/>
        <v>38.44</v>
      </c>
      <c r="W299" s="797">
        <f t="shared" si="78"/>
        <v>4033.9733333333338</v>
      </c>
      <c r="Y299" s="786">
        <v>1.4E-3</v>
      </c>
      <c r="AA299" s="787">
        <f t="shared" si="79"/>
        <v>17.36</v>
      </c>
      <c r="AC299" s="764" t="s">
        <v>912</v>
      </c>
    </row>
    <row r="300" spans="1:29">
      <c r="A300" s="763">
        <f t="shared" si="76"/>
        <v>257</v>
      </c>
      <c r="C300" s="790" t="s">
        <v>960</v>
      </c>
      <c r="K300" s="791">
        <f>SUM(K279:K299)</f>
        <v>209934</v>
      </c>
      <c r="M300" s="792">
        <f>SUM(M279:M299)</f>
        <v>3060179</v>
      </c>
      <c r="Q300" s="793">
        <f>SUM(Q279:Q299)</f>
        <v>2096995.7370000002</v>
      </c>
      <c r="S300" s="784"/>
      <c r="U300" s="793">
        <f>SUM(U279:U299)</f>
        <v>9486.5548999999992</v>
      </c>
      <c r="W300" s="793">
        <f>SUM(W279:W299)</f>
        <v>2106482.2918999996</v>
      </c>
      <c r="AA300" s="793">
        <f>SUM(AA279:AA299)</f>
        <v>4284.2505999999994</v>
      </c>
    </row>
    <row r="301" spans="1:29">
      <c r="A301" s="763" t="str">
        <f t="shared" si="76"/>
        <v/>
      </c>
      <c r="C301" s="790" t="s">
        <v>961</v>
      </c>
      <c r="S301" s="784"/>
    </row>
    <row r="302" spans="1:29">
      <c r="A302" s="763">
        <v>258</v>
      </c>
      <c r="C302" s="822" t="s">
        <v>958</v>
      </c>
      <c r="D302" s="769"/>
      <c r="E302" s="823" t="s">
        <v>912</v>
      </c>
      <c r="F302" s="823"/>
      <c r="G302" s="823" t="s">
        <v>962</v>
      </c>
      <c r="H302" s="769"/>
      <c r="I302" s="824" t="s">
        <v>964</v>
      </c>
      <c r="J302" s="823"/>
      <c r="K302" s="825">
        <v>0</v>
      </c>
      <c r="M302" s="809">
        <v>6848</v>
      </c>
      <c r="O302" s="782">
        <f>'J-2'!$G$26*365/12</f>
        <v>9.9888333333333339</v>
      </c>
      <c r="Q302" s="807">
        <f t="shared" ref="Q302:Q307" si="83">K302*O302</f>
        <v>0</v>
      </c>
      <c r="S302" s="784">
        <f>'J-2'!$I$26</f>
        <v>3.0999999999999999E-3</v>
      </c>
      <c r="U302" s="819">
        <f t="shared" ref="U302:U308" si="84">M302*S302</f>
        <v>21.2288</v>
      </c>
      <c r="W302" s="797">
        <f t="shared" ref="W302:W308" si="85">Q302+U302</f>
        <v>21.2288</v>
      </c>
      <c r="Y302" s="786">
        <v>1.4E-3</v>
      </c>
      <c r="AA302" s="787">
        <f t="shared" ref="AA302:AA308" si="86">Y302*M302</f>
        <v>9.5871999999999993</v>
      </c>
      <c r="AC302" s="764" t="s">
        <v>912</v>
      </c>
    </row>
    <row r="303" spans="1:29">
      <c r="A303" s="763">
        <f t="shared" si="76"/>
        <v>259</v>
      </c>
      <c r="C303" s="822" t="s">
        <v>932</v>
      </c>
      <c r="D303" s="769"/>
      <c r="E303" s="823" t="s">
        <v>912</v>
      </c>
      <c r="F303" s="823"/>
      <c r="G303" s="823" t="s">
        <v>962</v>
      </c>
      <c r="H303" s="769"/>
      <c r="I303" s="824" t="s">
        <v>965</v>
      </c>
      <c r="J303" s="823"/>
      <c r="K303" s="825">
        <v>0</v>
      </c>
      <c r="M303" s="798">
        <v>4650</v>
      </c>
      <c r="O303" s="782">
        <f>'J-2'!$G$26*365/12</f>
        <v>9.9888333333333339</v>
      </c>
      <c r="Q303" s="807">
        <f t="shared" si="83"/>
        <v>0</v>
      </c>
      <c r="S303" s="784">
        <f>'J-2'!$I$26</f>
        <v>3.0999999999999999E-3</v>
      </c>
      <c r="U303" s="819">
        <f t="shared" si="84"/>
        <v>14.414999999999999</v>
      </c>
      <c r="W303" s="797">
        <f t="shared" si="85"/>
        <v>14.414999999999999</v>
      </c>
      <c r="Y303" s="786">
        <v>1.4E-3</v>
      </c>
      <c r="AA303" s="787">
        <f t="shared" si="86"/>
        <v>6.51</v>
      </c>
      <c r="AC303" s="764" t="s">
        <v>912</v>
      </c>
    </row>
    <row r="304" spans="1:29">
      <c r="A304" s="763">
        <f t="shared" si="76"/>
        <v>260</v>
      </c>
      <c r="C304" s="822" t="s">
        <v>991</v>
      </c>
      <c r="D304" s="769"/>
      <c r="E304" s="823" t="s">
        <v>912</v>
      </c>
      <c r="F304" s="823"/>
      <c r="G304" s="823" t="s">
        <v>962</v>
      </c>
      <c r="H304" s="769"/>
      <c r="I304" s="824" t="s">
        <v>967</v>
      </c>
      <c r="J304" s="823"/>
      <c r="K304" s="825">
        <v>0</v>
      </c>
      <c r="M304" s="809">
        <v>337213</v>
      </c>
      <c r="O304" s="782">
        <f>'J-2'!$G$26*365/12</f>
        <v>9.9888333333333339</v>
      </c>
      <c r="Q304" s="807">
        <f t="shared" si="83"/>
        <v>0</v>
      </c>
      <c r="S304" s="784">
        <f>'J-2'!$I$26</f>
        <v>3.0999999999999999E-3</v>
      </c>
      <c r="U304" s="819">
        <f t="shared" si="84"/>
        <v>1045.3603000000001</v>
      </c>
      <c r="W304" s="797">
        <f t="shared" si="85"/>
        <v>1045.3603000000001</v>
      </c>
      <c r="Y304" s="786">
        <v>1.4E-3</v>
      </c>
      <c r="AA304" s="787">
        <f t="shared" si="86"/>
        <v>472.09820000000002</v>
      </c>
      <c r="AC304" s="764" t="s">
        <v>912</v>
      </c>
    </row>
    <row r="305" spans="1:36">
      <c r="A305" s="763">
        <f t="shared" si="76"/>
        <v>261</v>
      </c>
      <c r="C305" s="822" t="s">
        <v>991</v>
      </c>
      <c r="D305" s="769"/>
      <c r="E305" s="823" t="s">
        <v>912</v>
      </c>
      <c r="F305" s="823"/>
      <c r="G305" s="823" t="s">
        <v>962</v>
      </c>
      <c r="H305" s="769"/>
      <c r="I305" s="824" t="s">
        <v>968</v>
      </c>
      <c r="J305" s="823"/>
      <c r="K305" s="825">
        <v>0</v>
      </c>
      <c r="M305" s="809">
        <v>5270</v>
      </c>
      <c r="O305" s="782">
        <f>'J-2'!$G$26*365/12</f>
        <v>9.9888333333333339</v>
      </c>
      <c r="Q305" s="807">
        <f t="shared" si="83"/>
        <v>0</v>
      </c>
      <c r="S305" s="784">
        <f>'J-2'!$I$26</f>
        <v>3.0999999999999999E-3</v>
      </c>
      <c r="U305" s="819">
        <f t="shared" si="84"/>
        <v>16.337</v>
      </c>
      <c r="W305" s="797">
        <f t="shared" si="85"/>
        <v>16.337</v>
      </c>
      <c r="Y305" s="786">
        <v>1.4E-3</v>
      </c>
      <c r="AA305" s="787">
        <f t="shared" si="86"/>
        <v>7.3780000000000001</v>
      </c>
      <c r="AC305" s="764" t="s">
        <v>912</v>
      </c>
      <c r="AF305" s="797"/>
    </row>
    <row r="306" spans="1:36">
      <c r="A306" s="763">
        <f t="shared" si="76"/>
        <v>262</v>
      </c>
      <c r="C306" s="822" t="s">
        <v>972</v>
      </c>
      <c r="D306" s="769"/>
      <c r="E306" s="823" t="s">
        <v>912</v>
      </c>
      <c r="F306" s="823"/>
      <c r="G306" s="823" t="s">
        <v>970</v>
      </c>
      <c r="H306" s="769"/>
      <c r="I306" s="824" t="s">
        <v>973</v>
      </c>
      <c r="J306" s="823"/>
      <c r="K306" s="825">
        <v>150</v>
      </c>
      <c r="M306" s="798">
        <v>0</v>
      </c>
      <c r="O306" s="782">
        <f>'J-2'!$G$26*365/12</f>
        <v>9.9888333333333339</v>
      </c>
      <c r="Q306" s="807">
        <f t="shared" si="83"/>
        <v>1498.325</v>
      </c>
      <c r="S306" s="784">
        <f>'J-2'!$I$26</f>
        <v>3.0999999999999999E-3</v>
      </c>
      <c r="U306" s="819">
        <f t="shared" si="84"/>
        <v>0</v>
      </c>
      <c r="W306" s="797">
        <f t="shared" si="85"/>
        <v>1498.325</v>
      </c>
      <c r="Y306" s="786">
        <v>1.4E-3</v>
      </c>
      <c r="AA306" s="787">
        <f t="shared" si="86"/>
        <v>0</v>
      </c>
      <c r="AC306" s="764" t="s">
        <v>912</v>
      </c>
    </row>
    <row r="307" spans="1:36">
      <c r="A307" s="763">
        <f t="shared" si="76"/>
        <v>263</v>
      </c>
      <c r="C307" s="822" t="s">
        <v>974</v>
      </c>
      <c r="D307" s="769"/>
      <c r="E307" s="823" t="s">
        <v>912</v>
      </c>
      <c r="F307" s="823"/>
      <c r="G307" s="823" t="s">
        <v>970</v>
      </c>
      <c r="H307" s="769"/>
      <c r="I307" s="824" t="s">
        <v>975</v>
      </c>
      <c r="J307" s="823"/>
      <c r="K307" s="825">
        <v>20000</v>
      </c>
      <c r="M307" s="798">
        <v>0</v>
      </c>
      <c r="O307" s="782">
        <f>'J-2'!$G$26*365/12</f>
        <v>9.9888333333333339</v>
      </c>
      <c r="Q307" s="807">
        <f t="shared" si="83"/>
        <v>199776.66666666669</v>
      </c>
      <c r="S307" s="784">
        <f>'J-2'!$I$26</f>
        <v>3.0999999999999999E-3</v>
      </c>
      <c r="U307" s="819">
        <f t="shared" si="84"/>
        <v>0</v>
      </c>
      <c r="W307" s="797">
        <f t="shared" si="85"/>
        <v>199776.66666666669</v>
      </c>
      <c r="Y307" s="786">
        <v>1.4E-3</v>
      </c>
      <c r="AA307" s="787">
        <f t="shared" si="86"/>
        <v>0</v>
      </c>
      <c r="AC307" s="764" t="s">
        <v>912</v>
      </c>
    </row>
    <row r="308" spans="1:36">
      <c r="A308" s="763">
        <f t="shared" si="76"/>
        <v>264</v>
      </c>
      <c r="C308" s="822" t="s">
        <v>992</v>
      </c>
      <c r="D308" s="769"/>
      <c r="E308" s="823" t="s">
        <v>912</v>
      </c>
      <c r="F308" s="823"/>
      <c r="G308" s="823" t="s">
        <v>970</v>
      </c>
      <c r="H308" s="769"/>
      <c r="I308" s="824" t="s">
        <v>963</v>
      </c>
      <c r="J308" s="823"/>
      <c r="K308" s="826">
        <v>500</v>
      </c>
      <c r="M308" s="809">
        <v>5580</v>
      </c>
      <c r="O308" s="782">
        <f>'J-2'!$G$26*365/12</f>
        <v>9.9888333333333339</v>
      </c>
      <c r="Q308" s="807">
        <f>K308*O308</f>
        <v>4994.416666666667</v>
      </c>
      <c r="S308" s="784">
        <f>'J-2'!$I$26</f>
        <v>3.0999999999999999E-3</v>
      </c>
      <c r="U308" s="819">
        <f t="shared" si="84"/>
        <v>17.297999999999998</v>
      </c>
      <c r="W308" s="797">
        <f t="shared" si="85"/>
        <v>5011.7146666666667</v>
      </c>
      <c r="Y308" s="786">
        <v>1.4E-3</v>
      </c>
      <c r="AA308" s="787">
        <f t="shared" si="86"/>
        <v>7.8120000000000003</v>
      </c>
      <c r="AC308" s="764" t="s">
        <v>912</v>
      </c>
    </row>
    <row r="309" spans="1:36">
      <c r="A309" s="763">
        <f t="shared" si="76"/>
        <v>265</v>
      </c>
      <c r="C309" s="770" t="s">
        <v>976</v>
      </c>
      <c r="J309" s="764"/>
      <c r="K309" s="791">
        <f>SUM(K302:K308)</f>
        <v>20650</v>
      </c>
      <c r="M309" s="792">
        <f>SUM(M302:M308)</f>
        <v>359561</v>
      </c>
      <c r="Q309" s="793">
        <f>SUM(Q302:Q308)</f>
        <v>206269.40833333335</v>
      </c>
      <c r="U309" s="793">
        <f>SUM(U302:U308)</f>
        <v>1114.6391000000001</v>
      </c>
      <c r="W309" s="793">
        <f>SUM(W302:W308)</f>
        <v>207384.04743333336</v>
      </c>
      <c r="AA309" s="793">
        <f>SUM(AA302:AA308)</f>
        <v>503.3854</v>
      </c>
    </row>
    <row r="310" spans="1:36">
      <c r="A310" s="763" t="str">
        <f t="shared" si="76"/>
        <v/>
      </c>
      <c r="C310" s="770" t="s">
        <v>877</v>
      </c>
      <c r="J310" s="764"/>
    </row>
    <row r="311" spans="1:36">
      <c r="A311" s="763">
        <v>266</v>
      </c>
      <c r="C311" s="805" t="s">
        <v>932</v>
      </c>
      <c r="E311" s="764" t="s">
        <v>912</v>
      </c>
      <c r="G311" s="823" t="s">
        <v>977</v>
      </c>
      <c r="I311" s="806" t="s">
        <v>978</v>
      </c>
      <c r="J311" s="764"/>
      <c r="K311" s="767">
        <v>0</v>
      </c>
      <c r="M311" s="798">
        <v>33209</v>
      </c>
      <c r="O311" s="837">
        <v>0</v>
      </c>
      <c r="Q311" s="819">
        <f>O311*K311</f>
        <v>0</v>
      </c>
      <c r="S311" s="784">
        <f>'J-2'!$K$28</f>
        <v>0.33150000000000002</v>
      </c>
      <c r="U311" s="807">
        <f>S311*M311</f>
        <v>11008.783500000001</v>
      </c>
      <c r="W311" s="797">
        <f>S311+U311</f>
        <v>11009.115000000002</v>
      </c>
      <c r="Y311" s="786">
        <v>1.4E-3</v>
      </c>
      <c r="AA311" s="787">
        <f>Y311*M311</f>
        <v>46.492600000000003</v>
      </c>
      <c r="AC311" s="764" t="s">
        <v>912</v>
      </c>
    </row>
    <row r="312" spans="1:36">
      <c r="A312" s="763">
        <f t="shared" si="76"/>
        <v>267</v>
      </c>
      <c r="C312" s="770" t="s">
        <v>982</v>
      </c>
      <c r="K312" s="791">
        <f>SUM(K311)</f>
        <v>0</v>
      </c>
      <c r="M312" s="792">
        <f>SUM(M311)</f>
        <v>33209</v>
      </c>
      <c r="Q312" s="793">
        <f>SUM(Q311)</f>
        <v>0</v>
      </c>
      <c r="U312" s="793">
        <f>SUM(U311)</f>
        <v>11008.783500000001</v>
      </c>
      <c r="W312" s="793">
        <f>SUM(W311)</f>
        <v>11009.115000000002</v>
      </c>
      <c r="AA312" s="793">
        <f>SUM(AA311)</f>
        <v>46.492600000000003</v>
      </c>
    </row>
    <row r="313" spans="1:36">
      <c r="A313" s="763" t="str">
        <f t="shared" si="76"/>
        <v/>
      </c>
      <c r="K313" s="791"/>
      <c r="M313" s="792"/>
      <c r="Q313" s="793"/>
      <c r="U313" s="793"/>
      <c r="W313" s="793"/>
    </row>
    <row r="314" spans="1:36">
      <c r="A314" s="763" t="str">
        <f t="shared" si="76"/>
        <v/>
      </c>
      <c r="C314" s="768" t="s">
        <v>995</v>
      </c>
      <c r="D314" s="768"/>
      <c r="E314" s="802"/>
      <c r="F314" s="802"/>
      <c r="G314" s="802"/>
      <c r="H314" s="768"/>
      <c r="I314" s="802"/>
      <c r="J314" s="768"/>
      <c r="K314" s="803"/>
      <c r="L314" s="768"/>
      <c r="M314" s="804"/>
      <c r="N314" s="768"/>
      <c r="O314" s="768"/>
      <c r="P314" s="768"/>
      <c r="Q314" s="768"/>
      <c r="R314" s="768"/>
      <c r="S314" s="768"/>
      <c r="T314" s="768"/>
      <c r="U314" s="768"/>
      <c r="V314" s="768"/>
      <c r="W314" s="768"/>
      <c r="X314" s="768"/>
      <c r="Y314" s="768"/>
      <c r="Z314" s="768"/>
      <c r="AA314" s="768"/>
      <c r="AB314" s="768"/>
      <c r="AC314" s="768"/>
    </row>
    <row r="315" spans="1:36">
      <c r="A315" s="763" t="str">
        <f t="shared" si="76"/>
        <v/>
      </c>
      <c r="C315" s="770" t="s">
        <v>876</v>
      </c>
    </row>
    <row r="316" spans="1:36">
      <c r="A316" s="763">
        <v>268</v>
      </c>
      <c r="C316" s="805" t="s">
        <v>911</v>
      </c>
      <c r="E316" s="764" t="s">
        <v>912</v>
      </c>
      <c r="G316" s="764" t="s">
        <v>913</v>
      </c>
      <c r="I316" s="806" t="s">
        <v>914</v>
      </c>
      <c r="K316" s="794">
        <v>105750</v>
      </c>
      <c r="M316" s="838">
        <v>1827793</v>
      </c>
      <c r="N316" s="769"/>
      <c r="O316" s="782">
        <f>'J-2'!$G$26*365/12</f>
        <v>9.9888333333333339</v>
      </c>
      <c r="P316" s="769"/>
      <c r="Q316" s="807">
        <f t="shared" ref="Q316:Q336" si="87">K316*O316</f>
        <v>1056319.125</v>
      </c>
      <c r="R316" s="769"/>
      <c r="S316" s="784">
        <f>'J-2'!$I$26</f>
        <v>3.0999999999999999E-3</v>
      </c>
      <c r="T316" s="769"/>
      <c r="U316" s="819">
        <f t="shared" ref="U316:U336" si="88">M316*S316</f>
        <v>5666.1583000000001</v>
      </c>
      <c r="V316" s="769"/>
      <c r="W316" s="797">
        <f t="shared" ref="W316:W336" si="89">Q316+U316</f>
        <v>1061985.2833</v>
      </c>
      <c r="X316" s="769"/>
      <c r="Y316" s="786">
        <v>1.4E-3</v>
      </c>
      <c r="Z316" s="769"/>
      <c r="AA316" s="787">
        <f t="shared" ref="AA316:AA336" si="90">Y316*M316</f>
        <v>2558.9101999999998</v>
      </c>
      <c r="AB316" s="769"/>
      <c r="AC316" s="764" t="s">
        <v>912</v>
      </c>
      <c r="AD316" s="769"/>
      <c r="AE316" s="769"/>
      <c r="AF316" s="769"/>
      <c r="AG316" s="769"/>
      <c r="AH316" s="769"/>
      <c r="AI316" s="769"/>
      <c r="AJ316" s="769"/>
    </row>
    <row r="317" spans="1:36">
      <c r="A317" s="763">
        <f t="shared" si="76"/>
        <v>269</v>
      </c>
      <c r="C317" s="805" t="s">
        <v>915</v>
      </c>
      <c r="E317" s="764" t="s">
        <v>912</v>
      </c>
      <c r="G317" s="764" t="s">
        <v>913</v>
      </c>
      <c r="I317" s="806" t="s">
        <v>916</v>
      </c>
      <c r="K317" s="794">
        <v>200</v>
      </c>
      <c r="M317" s="809">
        <v>1500</v>
      </c>
      <c r="O317" s="782">
        <f>'J-2'!$G$26*365/12</f>
        <v>9.9888333333333339</v>
      </c>
      <c r="Q317" s="807">
        <f t="shared" si="87"/>
        <v>1997.7666666666669</v>
      </c>
      <c r="S317" s="784">
        <f>'J-2'!$I$26</f>
        <v>3.0999999999999999E-3</v>
      </c>
      <c r="U317" s="819">
        <f t="shared" si="88"/>
        <v>4.6499999999999995</v>
      </c>
      <c r="W317" s="797">
        <f t="shared" si="89"/>
        <v>2002.416666666667</v>
      </c>
      <c r="Y317" s="786">
        <v>1.4E-3</v>
      </c>
      <c r="AA317" s="787">
        <f t="shared" si="90"/>
        <v>2.1</v>
      </c>
      <c r="AC317" s="764" t="s">
        <v>912</v>
      </c>
    </row>
    <row r="318" spans="1:36">
      <c r="A318" s="763">
        <f t="shared" si="76"/>
        <v>270</v>
      </c>
      <c r="C318" s="805" t="s">
        <v>917</v>
      </c>
      <c r="E318" s="764" t="s">
        <v>912</v>
      </c>
      <c r="G318" s="764" t="s">
        <v>913</v>
      </c>
      <c r="I318" s="806" t="s">
        <v>918</v>
      </c>
      <c r="K318" s="794">
        <v>1200</v>
      </c>
      <c r="M318" s="809">
        <v>1543</v>
      </c>
      <c r="O318" s="782">
        <f>'J-2'!$G$26*365/12</f>
        <v>9.9888333333333339</v>
      </c>
      <c r="Q318" s="807">
        <f t="shared" si="87"/>
        <v>11986.6</v>
      </c>
      <c r="S318" s="784">
        <f>'J-2'!$I$26</f>
        <v>3.0999999999999999E-3</v>
      </c>
      <c r="U318" s="819">
        <f t="shared" si="88"/>
        <v>4.7832999999999997</v>
      </c>
      <c r="W318" s="797">
        <f t="shared" si="89"/>
        <v>11991.3833</v>
      </c>
      <c r="Y318" s="786">
        <v>1.4E-3</v>
      </c>
      <c r="AA318" s="787">
        <f t="shared" si="90"/>
        <v>2.1602000000000001</v>
      </c>
      <c r="AC318" s="764" t="s">
        <v>912</v>
      </c>
    </row>
    <row r="319" spans="1:36">
      <c r="A319" s="763">
        <f t="shared" si="76"/>
        <v>271</v>
      </c>
      <c r="C319" s="805" t="s">
        <v>919</v>
      </c>
      <c r="E319" s="764" t="s">
        <v>912</v>
      </c>
      <c r="G319" s="764" t="s">
        <v>913</v>
      </c>
      <c r="I319" s="806" t="s">
        <v>920</v>
      </c>
      <c r="K319" s="794">
        <v>1550</v>
      </c>
      <c r="M319" s="798">
        <v>0</v>
      </c>
      <c r="O319" s="782">
        <f>'J-2'!$G$26*365/12</f>
        <v>9.9888333333333339</v>
      </c>
      <c r="Q319" s="807">
        <f t="shared" si="87"/>
        <v>15482.691666666668</v>
      </c>
      <c r="S319" s="784">
        <f>'J-2'!$I$26</f>
        <v>3.0999999999999999E-3</v>
      </c>
      <c r="U319" s="819">
        <f t="shared" si="88"/>
        <v>0</v>
      </c>
      <c r="W319" s="797">
        <f t="shared" si="89"/>
        <v>15482.691666666668</v>
      </c>
      <c r="Y319" s="786">
        <v>1.4E-3</v>
      </c>
      <c r="AA319" s="787">
        <f t="shared" si="90"/>
        <v>0</v>
      </c>
      <c r="AC319" s="764" t="s">
        <v>912</v>
      </c>
    </row>
    <row r="320" spans="1:36">
      <c r="A320" s="763">
        <f t="shared" si="76"/>
        <v>272</v>
      </c>
      <c r="C320" s="805" t="s">
        <v>911</v>
      </c>
      <c r="E320" s="764" t="s">
        <v>912</v>
      </c>
      <c r="G320" s="764" t="s">
        <v>913</v>
      </c>
      <c r="I320" s="806" t="s">
        <v>921</v>
      </c>
      <c r="K320" s="794">
        <v>10000</v>
      </c>
      <c r="M320" s="809">
        <v>300000</v>
      </c>
      <c r="O320" s="782">
        <f>'J-2'!$G$26*365/12</f>
        <v>9.9888333333333339</v>
      </c>
      <c r="Q320" s="807">
        <f t="shared" si="87"/>
        <v>99888.333333333343</v>
      </c>
      <c r="S320" s="784">
        <f>'J-2'!$I$26</f>
        <v>3.0999999999999999E-3</v>
      </c>
      <c r="U320" s="819">
        <f t="shared" si="88"/>
        <v>930</v>
      </c>
      <c r="W320" s="797">
        <f t="shared" si="89"/>
        <v>100818.33333333334</v>
      </c>
      <c r="Y320" s="786">
        <v>1.4E-3</v>
      </c>
      <c r="AA320" s="787">
        <f t="shared" si="90"/>
        <v>420</v>
      </c>
      <c r="AC320" s="764" t="s">
        <v>912</v>
      </c>
    </row>
    <row r="321" spans="1:32">
      <c r="A321" s="763">
        <f t="shared" si="76"/>
        <v>273</v>
      </c>
      <c r="C321" s="805" t="s">
        <v>922</v>
      </c>
      <c r="E321" s="764" t="s">
        <v>912</v>
      </c>
      <c r="G321" s="764" t="s">
        <v>913</v>
      </c>
      <c r="I321" s="806" t="s">
        <v>923</v>
      </c>
      <c r="K321" s="794">
        <v>200</v>
      </c>
      <c r="M321" s="798">
        <v>0</v>
      </c>
      <c r="O321" s="782">
        <f>'J-2'!$G$26*365/12</f>
        <v>9.9888333333333339</v>
      </c>
      <c r="Q321" s="807">
        <f t="shared" si="87"/>
        <v>1997.7666666666669</v>
      </c>
      <c r="S321" s="784">
        <f>'J-2'!$I$26</f>
        <v>3.0999999999999999E-3</v>
      </c>
      <c r="U321" s="819">
        <f t="shared" si="88"/>
        <v>0</v>
      </c>
      <c r="W321" s="797">
        <f t="shared" si="89"/>
        <v>1997.7666666666669</v>
      </c>
      <c r="Y321" s="786">
        <v>1.4E-3</v>
      </c>
      <c r="AA321" s="787">
        <f t="shared" si="90"/>
        <v>0</v>
      </c>
      <c r="AC321" s="764" t="s">
        <v>912</v>
      </c>
    </row>
    <row r="322" spans="1:32">
      <c r="A322" s="763">
        <f t="shared" si="76"/>
        <v>274</v>
      </c>
      <c r="C322" s="805" t="s">
        <v>989</v>
      </c>
      <c r="E322" s="764" t="s">
        <v>912</v>
      </c>
      <c r="G322" s="764" t="s">
        <v>913</v>
      </c>
      <c r="I322" s="806" t="s">
        <v>925</v>
      </c>
      <c r="K322" s="794">
        <v>550</v>
      </c>
      <c r="M322" s="809">
        <v>5100</v>
      </c>
      <c r="O322" s="782">
        <f>'J-2'!$G$26*365/12</f>
        <v>9.9888333333333339</v>
      </c>
      <c r="Q322" s="807">
        <f t="shared" si="87"/>
        <v>5493.8583333333336</v>
      </c>
      <c r="S322" s="784">
        <f>'J-2'!$I$26</f>
        <v>3.0999999999999999E-3</v>
      </c>
      <c r="U322" s="819">
        <f t="shared" si="88"/>
        <v>15.809999999999999</v>
      </c>
      <c r="W322" s="797">
        <f t="shared" si="89"/>
        <v>5509.668333333334</v>
      </c>
      <c r="Y322" s="786">
        <v>1.4E-3</v>
      </c>
      <c r="AA322" s="787">
        <f t="shared" si="90"/>
        <v>7.14</v>
      </c>
      <c r="AC322" s="764" t="s">
        <v>912</v>
      </c>
    </row>
    <row r="323" spans="1:32">
      <c r="A323" s="763">
        <f t="shared" si="76"/>
        <v>275</v>
      </c>
      <c r="C323" s="805" t="s">
        <v>911</v>
      </c>
      <c r="E323" s="764" t="s">
        <v>912</v>
      </c>
      <c r="G323" s="764" t="s">
        <v>913</v>
      </c>
      <c r="I323" s="806" t="s">
        <v>926</v>
      </c>
      <c r="K323" s="794">
        <v>5661</v>
      </c>
      <c r="M323" s="809">
        <v>169830</v>
      </c>
      <c r="O323" s="782">
        <f>'J-2'!$G$26*365/12</f>
        <v>9.9888333333333339</v>
      </c>
      <c r="Q323" s="807">
        <f t="shared" si="87"/>
        <v>56546.785500000005</v>
      </c>
      <c r="S323" s="784">
        <f>'J-2'!$I$26</f>
        <v>3.0999999999999999E-3</v>
      </c>
      <c r="U323" s="819">
        <f t="shared" si="88"/>
        <v>526.47299999999996</v>
      </c>
      <c r="W323" s="797">
        <f t="shared" si="89"/>
        <v>57073.258500000004</v>
      </c>
      <c r="Y323" s="786">
        <v>1.4E-3</v>
      </c>
      <c r="AA323" s="787">
        <f t="shared" si="90"/>
        <v>237.762</v>
      </c>
      <c r="AC323" s="764" t="s">
        <v>912</v>
      </c>
    </row>
    <row r="324" spans="1:32">
      <c r="A324" s="763">
        <f t="shared" si="76"/>
        <v>276</v>
      </c>
      <c r="C324" s="805" t="s">
        <v>911</v>
      </c>
      <c r="E324" s="764" t="s">
        <v>912</v>
      </c>
      <c r="G324" s="764" t="s">
        <v>913</v>
      </c>
      <c r="I324" s="806" t="s">
        <v>927</v>
      </c>
      <c r="K324" s="794">
        <v>5690</v>
      </c>
      <c r="M324" s="809">
        <v>170700</v>
      </c>
      <c r="O324" s="782">
        <f>'J-2'!$G$26*365/12</f>
        <v>9.9888333333333339</v>
      </c>
      <c r="Q324" s="807">
        <f t="shared" si="87"/>
        <v>56836.46166666667</v>
      </c>
      <c r="S324" s="784">
        <f>'J-2'!$I$26</f>
        <v>3.0999999999999999E-3</v>
      </c>
      <c r="U324" s="819">
        <f t="shared" si="88"/>
        <v>529.16999999999996</v>
      </c>
      <c r="W324" s="797">
        <f t="shared" si="89"/>
        <v>57365.631666666668</v>
      </c>
      <c r="Y324" s="786">
        <v>1.4E-3</v>
      </c>
      <c r="AA324" s="787">
        <f t="shared" si="90"/>
        <v>238.98</v>
      </c>
      <c r="AC324" s="764" t="s">
        <v>912</v>
      </c>
    </row>
    <row r="325" spans="1:32">
      <c r="A325" s="763">
        <f t="shared" si="76"/>
        <v>277</v>
      </c>
      <c r="C325" s="805" t="s">
        <v>928</v>
      </c>
      <c r="E325" s="764" t="s">
        <v>912</v>
      </c>
      <c r="G325" s="764" t="s">
        <v>913</v>
      </c>
      <c r="I325" s="806" t="s">
        <v>929</v>
      </c>
      <c r="K325" s="794">
        <v>8000</v>
      </c>
      <c r="M325" s="798">
        <v>0</v>
      </c>
      <c r="O325" s="782">
        <f>'J-2'!$G$26*365/12</f>
        <v>9.9888333333333339</v>
      </c>
      <c r="Q325" s="807">
        <f t="shared" si="87"/>
        <v>79910.666666666672</v>
      </c>
      <c r="S325" s="784">
        <f>'J-2'!$I$26</f>
        <v>3.0999999999999999E-3</v>
      </c>
      <c r="U325" s="819">
        <f t="shared" si="88"/>
        <v>0</v>
      </c>
      <c r="W325" s="797">
        <f t="shared" si="89"/>
        <v>79910.666666666672</v>
      </c>
      <c r="Y325" s="786">
        <v>1.4E-3</v>
      </c>
      <c r="AA325" s="787">
        <f t="shared" si="90"/>
        <v>0</v>
      </c>
      <c r="AC325" s="764" t="s">
        <v>912</v>
      </c>
    </row>
    <row r="326" spans="1:32">
      <c r="A326" s="763">
        <f t="shared" si="76"/>
        <v>278</v>
      </c>
      <c r="C326" s="805" t="s">
        <v>928</v>
      </c>
      <c r="E326" s="764" t="s">
        <v>912</v>
      </c>
      <c r="G326" s="764" t="s">
        <v>913</v>
      </c>
      <c r="I326" s="806" t="s">
        <v>930</v>
      </c>
      <c r="K326" s="794">
        <v>16500</v>
      </c>
      <c r="M326" s="798">
        <v>0</v>
      </c>
      <c r="O326" s="782">
        <f>'J-2'!$G$26*365/12</f>
        <v>9.9888333333333339</v>
      </c>
      <c r="Q326" s="807">
        <f t="shared" si="87"/>
        <v>164815.75</v>
      </c>
      <c r="S326" s="784">
        <f>'J-2'!$I$26</f>
        <v>3.0999999999999999E-3</v>
      </c>
      <c r="U326" s="819">
        <f t="shared" si="88"/>
        <v>0</v>
      </c>
      <c r="W326" s="797">
        <f t="shared" si="89"/>
        <v>164815.75</v>
      </c>
      <c r="Y326" s="786">
        <v>1.4E-3</v>
      </c>
      <c r="AA326" s="787">
        <f t="shared" si="90"/>
        <v>0</v>
      </c>
      <c r="AC326" s="764" t="s">
        <v>912</v>
      </c>
    </row>
    <row r="327" spans="1:32">
      <c r="A327" s="763">
        <f t="shared" si="76"/>
        <v>279</v>
      </c>
      <c r="C327" s="775" t="s">
        <v>928</v>
      </c>
      <c r="D327" s="776"/>
      <c r="E327" s="777" t="s">
        <v>912</v>
      </c>
      <c r="F327" s="777"/>
      <c r="G327" s="777" t="s">
        <v>913</v>
      </c>
      <c r="H327" s="776"/>
      <c r="I327" s="778" t="s">
        <v>1021</v>
      </c>
      <c r="J327" s="776"/>
      <c r="K327" s="779">
        <v>5951</v>
      </c>
      <c r="L327" s="780"/>
      <c r="M327" s="781">
        <f>K327*365/12*'G-1 '!$M$504</f>
        <v>0</v>
      </c>
      <c r="N327" s="776"/>
      <c r="O327" s="782">
        <f>'J-2'!$G$26*365/12</f>
        <v>9.9888333333333339</v>
      </c>
      <c r="P327" s="776"/>
      <c r="Q327" s="783">
        <f t="shared" si="87"/>
        <v>59443.547166666671</v>
      </c>
      <c r="R327" s="776"/>
      <c r="S327" s="784">
        <f>'J-2'!$I$26</f>
        <v>3.0999999999999999E-3</v>
      </c>
      <c r="T327" s="776"/>
      <c r="U327" s="785">
        <f t="shared" ref="U327" si="91">S327*M327</f>
        <v>0</v>
      </c>
      <c r="V327" s="776"/>
      <c r="W327" s="783">
        <f t="shared" ref="W327" si="92">U327+Q327</f>
        <v>59443.547166666671</v>
      </c>
      <c r="Y327" s="786">
        <v>1.4E-3</v>
      </c>
      <c r="AA327" s="787">
        <f t="shared" si="90"/>
        <v>0</v>
      </c>
      <c r="AC327" s="764" t="s">
        <v>912</v>
      </c>
    </row>
    <row r="328" spans="1:32">
      <c r="A328" s="763">
        <f t="shared" si="76"/>
        <v>280</v>
      </c>
      <c r="C328" s="805" t="s">
        <v>911</v>
      </c>
      <c r="E328" s="764" t="s">
        <v>912</v>
      </c>
      <c r="G328" s="764" t="s">
        <v>913</v>
      </c>
      <c r="I328" s="806" t="s">
        <v>931</v>
      </c>
      <c r="K328" s="794">
        <v>5722</v>
      </c>
      <c r="M328" s="809">
        <v>171660</v>
      </c>
      <c r="O328" s="782">
        <f>'J-2'!$G$26*365/12</f>
        <v>9.9888333333333339</v>
      </c>
      <c r="Q328" s="807">
        <f t="shared" si="87"/>
        <v>57156.104333333336</v>
      </c>
      <c r="S328" s="784">
        <f>'J-2'!$I$26</f>
        <v>3.0999999999999999E-3</v>
      </c>
      <c r="U328" s="819">
        <f t="shared" si="88"/>
        <v>532.14599999999996</v>
      </c>
      <c r="W328" s="797">
        <f t="shared" si="89"/>
        <v>57688.250333333337</v>
      </c>
      <c r="Y328" s="786">
        <v>1.4E-3</v>
      </c>
      <c r="AA328" s="787">
        <f t="shared" si="90"/>
        <v>240.32399999999998</v>
      </c>
      <c r="AC328" s="764" t="s">
        <v>912</v>
      </c>
    </row>
    <row r="329" spans="1:32">
      <c r="A329" s="763">
        <f t="shared" si="76"/>
        <v>281</v>
      </c>
      <c r="C329" s="805" t="s">
        <v>932</v>
      </c>
      <c r="E329" s="764" t="s">
        <v>912</v>
      </c>
      <c r="G329" s="764" t="s">
        <v>913</v>
      </c>
      <c r="I329" s="806" t="s">
        <v>933</v>
      </c>
      <c r="K329" s="794">
        <v>760</v>
      </c>
      <c r="M329" s="809">
        <v>22789</v>
      </c>
      <c r="O329" s="782">
        <f>'J-2'!$G$26*365/12</f>
        <v>9.9888333333333339</v>
      </c>
      <c r="Q329" s="807">
        <f t="shared" si="87"/>
        <v>7591.5133333333333</v>
      </c>
      <c r="S329" s="784">
        <f>'J-2'!$I$26</f>
        <v>3.0999999999999999E-3</v>
      </c>
      <c r="U329" s="819">
        <f t="shared" si="88"/>
        <v>70.645899999999997</v>
      </c>
      <c r="W329" s="797">
        <f t="shared" si="89"/>
        <v>7662.1592333333338</v>
      </c>
      <c r="Y329" s="786">
        <v>1.4E-3</v>
      </c>
      <c r="AA329" s="787">
        <f t="shared" si="90"/>
        <v>31.904599999999999</v>
      </c>
      <c r="AC329" s="764" t="s">
        <v>912</v>
      </c>
      <c r="AF329" s="795"/>
    </row>
    <row r="330" spans="1:32">
      <c r="A330" s="763">
        <f t="shared" si="76"/>
        <v>282</v>
      </c>
      <c r="C330" s="805" t="s">
        <v>922</v>
      </c>
      <c r="E330" s="764" t="s">
        <v>912</v>
      </c>
      <c r="G330" s="764" t="s">
        <v>913</v>
      </c>
      <c r="I330" s="806" t="s">
        <v>934</v>
      </c>
      <c r="K330" s="794">
        <v>150</v>
      </c>
      <c r="M330" s="809">
        <v>1200</v>
      </c>
      <c r="O330" s="782">
        <f>'J-2'!$G$26*365/12</f>
        <v>9.9888333333333339</v>
      </c>
      <c r="Q330" s="807">
        <f t="shared" si="87"/>
        <v>1498.325</v>
      </c>
      <c r="S330" s="784">
        <f>'J-2'!$I$26</f>
        <v>3.0999999999999999E-3</v>
      </c>
      <c r="U330" s="819">
        <f t="shared" si="88"/>
        <v>3.7199999999999998</v>
      </c>
      <c r="W330" s="797">
        <f t="shared" si="89"/>
        <v>1502.0450000000001</v>
      </c>
      <c r="Y330" s="786">
        <v>1.4E-3</v>
      </c>
      <c r="AA330" s="787">
        <f t="shared" si="90"/>
        <v>1.68</v>
      </c>
      <c r="AC330" s="764" t="s">
        <v>912</v>
      </c>
    </row>
    <row r="331" spans="1:32">
      <c r="A331" s="763">
        <f t="shared" si="76"/>
        <v>283</v>
      </c>
      <c r="C331" s="805" t="s">
        <v>922</v>
      </c>
      <c r="E331" s="764" t="s">
        <v>912</v>
      </c>
      <c r="G331" s="764" t="s">
        <v>913</v>
      </c>
      <c r="I331" s="806" t="s">
        <v>935</v>
      </c>
      <c r="K331" s="794">
        <v>250</v>
      </c>
      <c r="M331" s="809">
        <v>450</v>
      </c>
      <c r="O331" s="782">
        <f>'J-2'!$G$26*365/12</f>
        <v>9.9888333333333339</v>
      </c>
      <c r="Q331" s="807">
        <f t="shared" si="87"/>
        <v>2497.2083333333335</v>
      </c>
      <c r="S331" s="784">
        <f>'J-2'!$I$26</f>
        <v>3.0999999999999999E-3</v>
      </c>
      <c r="U331" s="819">
        <f t="shared" si="88"/>
        <v>1.395</v>
      </c>
      <c r="W331" s="797">
        <f t="shared" si="89"/>
        <v>2498.6033333333335</v>
      </c>
      <c r="Y331" s="786">
        <v>1.4E-3</v>
      </c>
      <c r="AA331" s="787">
        <f t="shared" si="90"/>
        <v>0.63</v>
      </c>
      <c r="AC331" s="764" t="s">
        <v>912</v>
      </c>
    </row>
    <row r="332" spans="1:32">
      <c r="A332" s="763">
        <f t="shared" ref="A332:A395" si="93">IF(OR(K332/2&gt;0,M332/2&gt;0),A331+1,"")</f>
        <v>284</v>
      </c>
      <c r="C332" s="805" t="s">
        <v>922</v>
      </c>
      <c r="E332" s="764" t="s">
        <v>912</v>
      </c>
      <c r="G332" s="764" t="s">
        <v>913</v>
      </c>
      <c r="I332" s="806" t="s">
        <v>936</v>
      </c>
      <c r="K332" s="794">
        <v>400</v>
      </c>
      <c r="M332" s="809">
        <v>6000</v>
      </c>
      <c r="O332" s="782">
        <f>'J-2'!$G$26*365/12</f>
        <v>9.9888333333333339</v>
      </c>
      <c r="Q332" s="807">
        <f t="shared" si="87"/>
        <v>3995.5333333333338</v>
      </c>
      <c r="S332" s="784">
        <f>'J-2'!$I$26</f>
        <v>3.0999999999999999E-3</v>
      </c>
      <c r="U332" s="819">
        <f t="shared" si="88"/>
        <v>18.599999999999998</v>
      </c>
      <c r="W332" s="797">
        <f t="shared" si="89"/>
        <v>4014.1333333333337</v>
      </c>
      <c r="Y332" s="786">
        <v>1.4E-3</v>
      </c>
      <c r="AA332" s="787">
        <f t="shared" si="90"/>
        <v>8.4</v>
      </c>
      <c r="AC332" s="764" t="s">
        <v>912</v>
      </c>
      <c r="AF332" s="797"/>
    </row>
    <row r="333" spans="1:32">
      <c r="A333" s="763">
        <f t="shared" si="93"/>
        <v>285</v>
      </c>
      <c r="C333" s="805" t="s">
        <v>911</v>
      </c>
      <c r="E333" s="764" t="s">
        <v>912</v>
      </c>
      <c r="G333" s="764" t="s">
        <v>913</v>
      </c>
      <c r="I333" s="806" t="s">
        <v>937</v>
      </c>
      <c r="K333" s="794">
        <v>40000</v>
      </c>
      <c r="M333" s="809">
        <v>150000</v>
      </c>
      <c r="O333" s="782">
        <f>'J-2'!$G$26*365/12</f>
        <v>9.9888333333333339</v>
      </c>
      <c r="Q333" s="807">
        <f t="shared" si="87"/>
        <v>399553.33333333337</v>
      </c>
      <c r="S333" s="784">
        <f>'J-2'!$I$26</f>
        <v>3.0999999999999999E-3</v>
      </c>
      <c r="U333" s="819">
        <f t="shared" si="88"/>
        <v>465</v>
      </c>
      <c r="W333" s="797">
        <f t="shared" si="89"/>
        <v>400018.33333333337</v>
      </c>
      <c r="Y333" s="786">
        <v>1.4E-3</v>
      </c>
      <c r="AA333" s="787">
        <f t="shared" si="90"/>
        <v>210</v>
      </c>
      <c r="AC333" s="764" t="s">
        <v>912</v>
      </c>
    </row>
    <row r="334" spans="1:32">
      <c r="A334" s="763">
        <f t="shared" si="93"/>
        <v>286</v>
      </c>
      <c r="C334" s="805" t="s">
        <v>990</v>
      </c>
      <c r="E334" s="764" t="s">
        <v>912</v>
      </c>
      <c r="G334" s="764" t="s">
        <v>913</v>
      </c>
      <c r="I334" s="806" t="s">
        <v>939</v>
      </c>
      <c r="K334" s="794">
        <v>800</v>
      </c>
      <c r="M334" s="809">
        <v>24000</v>
      </c>
      <c r="O334" s="782">
        <f>'J-2'!$G$26*365/12</f>
        <v>9.9888333333333339</v>
      </c>
      <c r="Q334" s="807">
        <f t="shared" si="87"/>
        <v>7991.0666666666675</v>
      </c>
      <c r="S334" s="784">
        <f>'J-2'!$I$26</f>
        <v>3.0999999999999999E-3</v>
      </c>
      <c r="U334" s="819">
        <f t="shared" si="88"/>
        <v>74.399999999999991</v>
      </c>
      <c r="W334" s="797">
        <f t="shared" si="89"/>
        <v>8065.4666666666672</v>
      </c>
      <c r="Y334" s="786">
        <v>1.4E-3</v>
      </c>
      <c r="AA334" s="787">
        <f t="shared" si="90"/>
        <v>33.6</v>
      </c>
      <c r="AC334" s="764" t="s">
        <v>912</v>
      </c>
      <c r="AF334" s="797"/>
    </row>
    <row r="335" spans="1:32">
      <c r="A335" s="763">
        <f t="shared" si="93"/>
        <v>287</v>
      </c>
      <c r="C335" s="805" t="s">
        <v>990</v>
      </c>
      <c r="E335" s="764" t="s">
        <v>912</v>
      </c>
      <c r="G335" s="764" t="s">
        <v>913</v>
      </c>
      <c r="I335" s="806" t="s">
        <v>940</v>
      </c>
      <c r="K335" s="794">
        <v>200</v>
      </c>
      <c r="M335" s="809">
        <v>6000</v>
      </c>
      <c r="O335" s="782">
        <f>'J-2'!$G$26*365/12</f>
        <v>9.9888333333333339</v>
      </c>
      <c r="Q335" s="807">
        <f t="shared" si="87"/>
        <v>1997.7666666666669</v>
      </c>
      <c r="S335" s="784">
        <f>'J-2'!$I$26</f>
        <v>3.0999999999999999E-3</v>
      </c>
      <c r="U335" s="819">
        <f t="shared" si="88"/>
        <v>18.599999999999998</v>
      </c>
      <c r="W335" s="797">
        <f t="shared" si="89"/>
        <v>2016.3666666666668</v>
      </c>
      <c r="Y335" s="786">
        <v>1.4E-3</v>
      </c>
      <c r="AA335" s="787">
        <f t="shared" si="90"/>
        <v>8.4</v>
      </c>
      <c r="AC335" s="764" t="s">
        <v>912</v>
      </c>
    </row>
    <row r="336" spans="1:32">
      <c r="A336" s="763">
        <f t="shared" si="93"/>
        <v>288</v>
      </c>
      <c r="C336" s="805" t="s">
        <v>990</v>
      </c>
      <c r="E336" s="764" t="s">
        <v>912</v>
      </c>
      <c r="G336" s="764" t="s">
        <v>913</v>
      </c>
      <c r="I336" s="806" t="s">
        <v>941</v>
      </c>
      <c r="K336" s="794">
        <v>400</v>
      </c>
      <c r="M336" s="809">
        <v>9000</v>
      </c>
      <c r="O336" s="782">
        <f>'J-2'!$G$26*365/12</f>
        <v>9.9888333333333339</v>
      </c>
      <c r="Q336" s="807">
        <f t="shared" si="87"/>
        <v>3995.5333333333338</v>
      </c>
      <c r="S336" s="784">
        <f>'J-2'!$I$26</f>
        <v>3.0999999999999999E-3</v>
      </c>
      <c r="U336" s="819">
        <f t="shared" si="88"/>
        <v>27.9</v>
      </c>
      <c r="W336" s="797">
        <f t="shared" si="89"/>
        <v>4023.4333333333338</v>
      </c>
      <c r="Y336" s="786">
        <v>1.4E-3</v>
      </c>
      <c r="AA336" s="787">
        <f t="shared" si="90"/>
        <v>12.6</v>
      </c>
      <c r="AC336" s="764" t="s">
        <v>912</v>
      </c>
    </row>
    <row r="337" spans="1:32">
      <c r="A337" s="763">
        <f t="shared" si="93"/>
        <v>289</v>
      </c>
      <c r="C337" s="790" t="s">
        <v>960</v>
      </c>
      <c r="K337" s="791">
        <f>SUM(K316:K336)</f>
        <v>209934</v>
      </c>
      <c r="M337" s="792">
        <f>SUM(M316:M336)</f>
        <v>2867565</v>
      </c>
      <c r="Q337" s="793">
        <f>SUM(Q316:Q336)</f>
        <v>2096995.7370000002</v>
      </c>
      <c r="U337" s="793">
        <f>SUM(U316:U336)</f>
        <v>8889.4514999999992</v>
      </c>
      <c r="W337" s="793">
        <f>SUM(W316:W336)</f>
        <v>2105885.1884999997</v>
      </c>
      <c r="AA337" s="793">
        <f>SUM(AA316:AA336)</f>
        <v>4014.5909999999994</v>
      </c>
      <c r="AF337" s="795"/>
    </row>
    <row r="338" spans="1:32">
      <c r="A338" s="763" t="str">
        <f t="shared" si="93"/>
        <v/>
      </c>
      <c r="C338" s="790" t="s">
        <v>961</v>
      </c>
    </row>
    <row r="339" spans="1:32" s="769" customFormat="1">
      <c r="A339" s="763">
        <v>290</v>
      </c>
      <c r="C339" s="822" t="s">
        <v>958</v>
      </c>
      <c r="E339" s="823" t="s">
        <v>912</v>
      </c>
      <c r="F339" s="823"/>
      <c r="G339" s="823" t="s">
        <v>962</v>
      </c>
      <c r="I339" s="824" t="s">
        <v>996</v>
      </c>
      <c r="K339" s="825">
        <v>0</v>
      </c>
      <c r="M339" s="839">
        <v>6690</v>
      </c>
      <c r="O339" s="782">
        <f>'J-2'!$G$26*365/12</f>
        <v>9.9888333333333339</v>
      </c>
      <c r="Q339" s="840">
        <f>K339*O339</f>
        <v>0</v>
      </c>
      <c r="S339" s="784">
        <f>'J-2'!$I$26</f>
        <v>3.0999999999999999E-3</v>
      </c>
      <c r="U339" s="841">
        <f>M339*S339</f>
        <v>20.739000000000001</v>
      </c>
      <c r="W339" s="842">
        <f>Q339+U339</f>
        <v>20.739000000000001</v>
      </c>
      <c r="Y339" s="786">
        <v>1.4E-3</v>
      </c>
      <c r="AA339" s="787">
        <f t="shared" ref="AA339:AA345" si="94">Y339*M339</f>
        <v>9.3659999999999997</v>
      </c>
      <c r="AC339" s="764" t="s">
        <v>912</v>
      </c>
    </row>
    <row r="340" spans="1:32">
      <c r="A340" s="763">
        <f t="shared" si="93"/>
        <v>291</v>
      </c>
      <c r="C340" s="822" t="s">
        <v>932</v>
      </c>
      <c r="D340" s="769"/>
      <c r="E340" s="823" t="s">
        <v>912</v>
      </c>
      <c r="F340" s="823"/>
      <c r="G340" s="823" t="s">
        <v>962</v>
      </c>
      <c r="H340" s="769"/>
      <c r="I340" s="824" t="s">
        <v>965</v>
      </c>
      <c r="J340" s="769"/>
      <c r="K340" s="825">
        <v>0</v>
      </c>
      <c r="M340" s="798">
        <v>4500</v>
      </c>
      <c r="O340" s="782">
        <f>'J-2'!$G$26*365/12</f>
        <v>9.9888333333333339</v>
      </c>
      <c r="Q340" s="807">
        <f t="shared" ref="Q340:Q345" si="95">K340*O340</f>
        <v>0</v>
      </c>
      <c r="S340" s="784">
        <f>'J-2'!$I$26</f>
        <v>3.0999999999999999E-3</v>
      </c>
      <c r="U340" s="819">
        <f t="shared" ref="U340:U345" si="96">M340*S340</f>
        <v>13.95</v>
      </c>
      <c r="W340" s="797">
        <f t="shared" ref="W340:W345" si="97">Q340+U340</f>
        <v>13.95</v>
      </c>
      <c r="Y340" s="786">
        <v>1.4E-3</v>
      </c>
      <c r="AA340" s="787">
        <f t="shared" si="94"/>
        <v>6.3</v>
      </c>
      <c r="AC340" s="764" t="s">
        <v>912</v>
      </c>
    </row>
    <row r="341" spans="1:32">
      <c r="A341" s="763">
        <f t="shared" si="93"/>
        <v>292</v>
      </c>
      <c r="C341" s="822" t="s">
        <v>991</v>
      </c>
      <c r="D341" s="769"/>
      <c r="E341" s="823" t="s">
        <v>912</v>
      </c>
      <c r="F341" s="823"/>
      <c r="G341" s="823" t="s">
        <v>962</v>
      </c>
      <c r="H341" s="769"/>
      <c r="I341" s="824" t="s">
        <v>967</v>
      </c>
      <c r="J341" s="769"/>
      <c r="K341" s="825">
        <v>0</v>
      </c>
      <c r="M341" s="798">
        <v>243832</v>
      </c>
      <c r="O341" s="782">
        <f>'J-2'!$G$26*365/12</f>
        <v>9.9888333333333339</v>
      </c>
      <c r="Q341" s="807">
        <f t="shared" si="95"/>
        <v>0</v>
      </c>
      <c r="S341" s="784">
        <f>'J-2'!$I$26</f>
        <v>3.0999999999999999E-3</v>
      </c>
      <c r="U341" s="819">
        <f t="shared" si="96"/>
        <v>755.87919999999997</v>
      </c>
      <c r="W341" s="797">
        <f t="shared" si="97"/>
        <v>755.87919999999997</v>
      </c>
      <c r="Y341" s="786">
        <v>1.4E-3</v>
      </c>
      <c r="AA341" s="787">
        <f t="shared" si="94"/>
        <v>341.3648</v>
      </c>
      <c r="AC341" s="764" t="s">
        <v>912</v>
      </c>
      <c r="AF341" s="797"/>
    </row>
    <row r="342" spans="1:32">
      <c r="A342" s="763">
        <f t="shared" si="93"/>
        <v>293</v>
      </c>
      <c r="C342" s="822" t="s">
        <v>991</v>
      </c>
      <c r="D342" s="769"/>
      <c r="E342" s="823" t="s">
        <v>912</v>
      </c>
      <c r="F342" s="823"/>
      <c r="G342" s="823" t="s">
        <v>962</v>
      </c>
      <c r="H342" s="769"/>
      <c r="I342" s="824" t="s">
        <v>968</v>
      </c>
      <c r="J342" s="769"/>
      <c r="K342" s="825">
        <v>0</v>
      </c>
      <c r="M342" s="809">
        <v>4800</v>
      </c>
      <c r="O342" s="782">
        <f>'J-2'!$G$26*365/12</f>
        <v>9.9888333333333339</v>
      </c>
      <c r="Q342" s="807">
        <f t="shared" si="95"/>
        <v>0</v>
      </c>
      <c r="S342" s="784">
        <f>'J-2'!$I$26</f>
        <v>3.0999999999999999E-3</v>
      </c>
      <c r="U342" s="819">
        <f t="shared" si="96"/>
        <v>14.879999999999999</v>
      </c>
      <c r="W342" s="797">
        <f t="shared" si="97"/>
        <v>14.879999999999999</v>
      </c>
      <c r="Y342" s="786">
        <v>1.4E-3</v>
      </c>
      <c r="AA342" s="787">
        <f t="shared" si="94"/>
        <v>6.72</v>
      </c>
      <c r="AC342" s="764" t="s">
        <v>912</v>
      </c>
      <c r="AF342" s="797"/>
    </row>
    <row r="343" spans="1:32">
      <c r="A343" s="763">
        <f t="shared" si="93"/>
        <v>294</v>
      </c>
      <c r="C343" s="822" t="s">
        <v>972</v>
      </c>
      <c r="D343" s="769"/>
      <c r="E343" s="823" t="s">
        <v>912</v>
      </c>
      <c r="F343" s="823"/>
      <c r="G343" s="823" t="s">
        <v>970</v>
      </c>
      <c r="H343" s="769"/>
      <c r="I343" s="824" t="s">
        <v>973</v>
      </c>
      <c r="J343" s="769"/>
      <c r="K343" s="825">
        <v>150</v>
      </c>
      <c r="M343" s="798">
        <v>0</v>
      </c>
      <c r="O343" s="782">
        <f>'J-2'!$G$26*365/12</f>
        <v>9.9888333333333339</v>
      </c>
      <c r="Q343" s="807">
        <f t="shared" si="95"/>
        <v>1498.325</v>
      </c>
      <c r="S343" s="784">
        <f>'J-2'!$I$26</f>
        <v>3.0999999999999999E-3</v>
      </c>
      <c r="U343" s="819">
        <f t="shared" si="96"/>
        <v>0</v>
      </c>
      <c r="W343" s="797">
        <f t="shared" si="97"/>
        <v>1498.325</v>
      </c>
      <c r="Y343" s="786">
        <v>1.4E-3</v>
      </c>
      <c r="AA343" s="787">
        <f t="shared" si="94"/>
        <v>0</v>
      </c>
      <c r="AC343" s="764" t="s">
        <v>912</v>
      </c>
      <c r="AF343" s="795"/>
    </row>
    <row r="344" spans="1:32">
      <c r="A344" s="763">
        <f t="shared" si="93"/>
        <v>295</v>
      </c>
      <c r="C344" s="822" t="s">
        <v>974</v>
      </c>
      <c r="D344" s="769"/>
      <c r="E344" s="823" t="s">
        <v>912</v>
      </c>
      <c r="F344" s="823"/>
      <c r="G344" s="823" t="s">
        <v>970</v>
      </c>
      <c r="H344" s="769"/>
      <c r="I344" s="824" t="s">
        <v>975</v>
      </c>
      <c r="J344" s="769"/>
      <c r="K344" s="825">
        <v>20000</v>
      </c>
      <c r="M344" s="798">
        <v>0</v>
      </c>
      <c r="O344" s="782">
        <f>'J-2'!$G$26*365/12</f>
        <v>9.9888333333333339</v>
      </c>
      <c r="Q344" s="807">
        <f t="shared" si="95"/>
        <v>199776.66666666669</v>
      </c>
      <c r="S344" s="784">
        <f>'J-2'!$I$26</f>
        <v>3.0999999999999999E-3</v>
      </c>
      <c r="U344" s="819">
        <f t="shared" si="96"/>
        <v>0</v>
      </c>
      <c r="W344" s="797">
        <f t="shared" si="97"/>
        <v>199776.66666666669</v>
      </c>
      <c r="Y344" s="786">
        <v>1.4E-3</v>
      </c>
      <c r="AA344" s="787">
        <f t="shared" si="94"/>
        <v>0</v>
      </c>
      <c r="AC344" s="764" t="s">
        <v>912</v>
      </c>
      <c r="AF344" s="795"/>
    </row>
    <row r="345" spans="1:32">
      <c r="A345" s="763">
        <f t="shared" si="93"/>
        <v>296</v>
      </c>
      <c r="C345" s="822" t="s">
        <v>992</v>
      </c>
      <c r="D345" s="769"/>
      <c r="E345" s="823" t="s">
        <v>912</v>
      </c>
      <c r="F345" s="823"/>
      <c r="G345" s="823" t="s">
        <v>970</v>
      </c>
      <c r="H345" s="769"/>
      <c r="I345" s="824" t="s">
        <v>963</v>
      </c>
      <c r="J345" s="769"/>
      <c r="K345" s="825">
        <v>500</v>
      </c>
      <c r="M345" s="809">
        <v>5623</v>
      </c>
      <c r="O345" s="782">
        <f>'J-2'!$G$26*365/12</f>
        <v>9.9888333333333339</v>
      </c>
      <c r="Q345" s="807">
        <f t="shared" si="95"/>
        <v>4994.416666666667</v>
      </c>
      <c r="S345" s="784">
        <f>'J-2'!$I$26</f>
        <v>3.0999999999999999E-3</v>
      </c>
      <c r="U345" s="819">
        <f t="shared" si="96"/>
        <v>17.4313</v>
      </c>
      <c r="W345" s="797">
        <f t="shared" si="97"/>
        <v>5011.8479666666672</v>
      </c>
      <c r="Y345" s="786">
        <v>1.4E-3</v>
      </c>
      <c r="AA345" s="787">
        <f t="shared" si="94"/>
        <v>7.8722000000000003</v>
      </c>
      <c r="AC345" s="764" t="s">
        <v>912</v>
      </c>
    </row>
    <row r="346" spans="1:32">
      <c r="A346" s="763">
        <f t="shared" si="93"/>
        <v>297</v>
      </c>
      <c r="C346" s="770" t="s">
        <v>976</v>
      </c>
      <c r="D346" s="769"/>
      <c r="E346" s="823"/>
      <c r="F346" s="823"/>
      <c r="G346" s="823"/>
      <c r="H346" s="769"/>
      <c r="I346" s="823"/>
      <c r="J346" s="769"/>
      <c r="K346" s="835">
        <f>SUM(K339:K345)</f>
        <v>20650</v>
      </c>
      <c r="M346" s="792">
        <f>SUM(M339:M345)</f>
        <v>265445</v>
      </c>
      <c r="Q346" s="793">
        <f>SUM(Q339:Q345)</f>
        <v>206269.40833333335</v>
      </c>
      <c r="U346" s="793">
        <f>SUM(U340:U345)</f>
        <v>802.14049999999997</v>
      </c>
      <c r="W346" s="793">
        <f>SUM(W339:W345)</f>
        <v>207092.28783333334</v>
      </c>
      <c r="AA346" s="793">
        <f>SUM(AA339:AA345)</f>
        <v>371.62300000000005</v>
      </c>
    </row>
    <row r="347" spans="1:32">
      <c r="A347" s="763" t="str">
        <f t="shared" si="93"/>
        <v/>
      </c>
      <c r="C347" s="770" t="s">
        <v>877</v>
      </c>
    </row>
    <row r="348" spans="1:32">
      <c r="A348" s="763">
        <v>298</v>
      </c>
      <c r="C348" s="805" t="s">
        <v>932</v>
      </c>
      <c r="E348" s="764" t="s">
        <v>912</v>
      </c>
      <c r="G348" s="823" t="s">
        <v>977</v>
      </c>
      <c r="I348" s="806" t="s">
        <v>978</v>
      </c>
      <c r="K348" s="767">
        <v>0</v>
      </c>
      <c r="M348" s="809">
        <v>32608</v>
      </c>
      <c r="O348" s="837">
        <v>0</v>
      </c>
      <c r="Q348" s="807">
        <f t="shared" ref="Q348" si="98">K348*O348</f>
        <v>0</v>
      </c>
      <c r="S348" s="784">
        <f>'J-2'!$K$28</f>
        <v>0.33150000000000002</v>
      </c>
      <c r="U348" s="819">
        <f t="shared" ref="U348" si="99">M348*S348</f>
        <v>10809.552</v>
      </c>
      <c r="W348" s="797">
        <f t="shared" ref="W348" si="100">Q348+U348</f>
        <v>10809.552</v>
      </c>
      <c r="Y348" s="786">
        <v>1.4E-3</v>
      </c>
      <c r="AA348" s="787">
        <f>Y348*M348</f>
        <v>45.651200000000003</v>
      </c>
      <c r="AC348" s="764" t="s">
        <v>912</v>
      </c>
    </row>
    <row r="349" spans="1:32">
      <c r="A349" s="763">
        <f t="shared" si="93"/>
        <v>299</v>
      </c>
      <c r="C349" s="770" t="s">
        <v>982</v>
      </c>
      <c r="K349" s="791">
        <f>SUM(K348)</f>
        <v>0</v>
      </c>
      <c r="M349" s="792">
        <f>SUM(M348)</f>
        <v>32608</v>
      </c>
      <c r="Q349" s="793">
        <f>SUM(Q348)</f>
        <v>0</v>
      </c>
      <c r="U349" s="793">
        <f>SUM(U348)</f>
        <v>10809.552</v>
      </c>
      <c r="W349" s="793">
        <f>SUM(W348)</f>
        <v>10809.552</v>
      </c>
      <c r="AA349" s="793">
        <f>SUM(AA348)</f>
        <v>45.651200000000003</v>
      </c>
    </row>
    <row r="350" spans="1:32">
      <c r="A350" s="763" t="str">
        <f t="shared" si="93"/>
        <v/>
      </c>
    </row>
    <row r="351" spans="1:32">
      <c r="A351" s="763" t="str">
        <f t="shared" si="93"/>
        <v/>
      </c>
      <c r="C351" s="768" t="s">
        <v>997</v>
      </c>
      <c r="D351" s="768"/>
      <c r="E351" s="802"/>
      <c r="F351" s="802"/>
      <c r="G351" s="802"/>
      <c r="H351" s="768"/>
      <c r="I351" s="802"/>
      <c r="J351" s="768"/>
      <c r="K351" s="803"/>
      <c r="L351" s="768"/>
      <c r="M351" s="804"/>
      <c r="N351" s="768"/>
      <c r="O351" s="768"/>
      <c r="P351" s="768"/>
      <c r="Q351" s="768"/>
      <c r="R351" s="768"/>
      <c r="S351" s="768"/>
      <c r="T351" s="768"/>
      <c r="U351" s="768"/>
      <c r="V351" s="768"/>
      <c r="W351" s="768"/>
      <c r="X351" s="768"/>
      <c r="Y351" s="768"/>
      <c r="Z351" s="768"/>
      <c r="AA351" s="768"/>
      <c r="AB351" s="768"/>
      <c r="AC351" s="768"/>
    </row>
    <row r="352" spans="1:32">
      <c r="A352" s="763" t="str">
        <f t="shared" si="93"/>
        <v/>
      </c>
      <c r="C352" s="770" t="s">
        <v>876</v>
      </c>
    </row>
    <row r="353" spans="1:29">
      <c r="A353" s="763">
        <v>300</v>
      </c>
      <c r="C353" s="805" t="s">
        <v>911</v>
      </c>
      <c r="E353" s="764" t="s">
        <v>912</v>
      </c>
      <c r="G353" s="764" t="s">
        <v>913</v>
      </c>
      <c r="I353" s="806" t="s">
        <v>914</v>
      </c>
      <c r="K353" s="794">
        <v>105750</v>
      </c>
      <c r="M353" s="798">
        <v>1182633</v>
      </c>
      <c r="O353" s="782">
        <f>'J-2'!$G$26*365/12</f>
        <v>9.9888333333333339</v>
      </c>
      <c r="Q353" s="797">
        <f>K353*O353</f>
        <v>1056319.125</v>
      </c>
      <c r="S353" s="784">
        <f>'J-2'!$I$26</f>
        <v>3.0999999999999999E-3</v>
      </c>
      <c r="U353" s="819">
        <f>S353*M353</f>
        <v>3666.1623</v>
      </c>
      <c r="W353" s="797">
        <f>U353+Q353</f>
        <v>1059985.2873</v>
      </c>
      <c r="Y353" s="786">
        <v>1.4E-3</v>
      </c>
      <c r="AA353" s="787">
        <f t="shared" ref="AA353:AA373" si="101">Y353*M353</f>
        <v>1655.6861999999999</v>
      </c>
      <c r="AC353" s="764" t="s">
        <v>912</v>
      </c>
    </row>
    <row r="354" spans="1:29">
      <c r="A354" s="763">
        <f t="shared" si="93"/>
        <v>301</v>
      </c>
      <c r="C354" s="805" t="s">
        <v>915</v>
      </c>
      <c r="E354" s="764" t="s">
        <v>912</v>
      </c>
      <c r="G354" s="764" t="s">
        <v>913</v>
      </c>
      <c r="I354" s="806" t="s">
        <v>916</v>
      </c>
      <c r="K354" s="794">
        <v>200</v>
      </c>
      <c r="M354" s="809">
        <v>1388</v>
      </c>
      <c r="O354" s="782">
        <f>'J-2'!$G$26*365/12</f>
        <v>9.9888333333333339</v>
      </c>
      <c r="Q354" s="797">
        <f t="shared" ref="Q354:Q373" si="102">K354*O354</f>
        <v>1997.7666666666669</v>
      </c>
      <c r="S354" s="784">
        <f>'J-2'!$I$26</f>
        <v>3.0999999999999999E-3</v>
      </c>
      <c r="U354" s="819">
        <f t="shared" ref="U354:U373" si="103">S354*M354</f>
        <v>4.3027999999999995</v>
      </c>
      <c r="W354" s="797">
        <f t="shared" ref="W354:W373" si="104">U354+Q354</f>
        <v>2002.0694666666668</v>
      </c>
      <c r="Y354" s="786">
        <v>1.4E-3</v>
      </c>
      <c r="AA354" s="787">
        <f t="shared" si="101"/>
        <v>1.9432</v>
      </c>
      <c r="AC354" s="764" t="s">
        <v>912</v>
      </c>
    </row>
    <row r="355" spans="1:29">
      <c r="A355" s="763">
        <f t="shared" si="93"/>
        <v>302</v>
      </c>
      <c r="C355" s="805" t="s">
        <v>917</v>
      </c>
      <c r="E355" s="764" t="s">
        <v>912</v>
      </c>
      <c r="G355" s="764" t="s">
        <v>913</v>
      </c>
      <c r="I355" s="806" t="s">
        <v>918</v>
      </c>
      <c r="K355" s="794">
        <v>1200</v>
      </c>
      <c r="M355" s="809">
        <v>1931</v>
      </c>
      <c r="O355" s="782">
        <f>'J-2'!$G$26*365/12</f>
        <v>9.9888333333333339</v>
      </c>
      <c r="Q355" s="797">
        <f t="shared" si="102"/>
        <v>11986.6</v>
      </c>
      <c r="S355" s="784">
        <f>'J-2'!$I$26</f>
        <v>3.0999999999999999E-3</v>
      </c>
      <c r="U355" s="819">
        <f t="shared" si="103"/>
        <v>5.9860999999999995</v>
      </c>
      <c r="W355" s="797">
        <f t="shared" si="104"/>
        <v>11992.5861</v>
      </c>
      <c r="Y355" s="786">
        <v>1.4E-3</v>
      </c>
      <c r="AA355" s="787">
        <f t="shared" si="101"/>
        <v>2.7033999999999998</v>
      </c>
      <c r="AC355" s="764" t="s">
        <v>912</v>
      </c>
    </row>
    <row r="356" spans="1:29">
      <c r="A356" s="763">
        <f t="shared" si="93"/>
        <v>303</v>
      </c>
      <c r="C356" s="805" t="s">
        <v>919</v>
      </c>
      <c r="E356" s="764" t="s">
        <v>912</v>
      </c>
      <c r="G356" s="764" t="s">
        <v>913</v>
      </c>
      <c r="I356" s="806" t="s">
        <v>920</v>
      </c>
      <c r="K356" s="794">
        <v>1550</v>
      </c>
      <c r="M356" s="798">
        <v>0</v>
      </c>
      <c r="O356" s="782">
        <f>'J-2'!$G$26*365/12</f>
        <v>9.9888333333333339</v>
      </c>
      <c r="Q356" s="797">
        <f t="shared" si="102"/>
        <v>15482.691666666668</v>
      </c>
      <c r="S356" s="784">
        <f>'J-2'!$I$26</f>
        <v>3.0999999999999999E-3</v>
      </c>
      <c r="U356" s="819">
        <f t="shared" si="103"/>
        <v>0</v>
      </c>
      <c r="W356" s="797">
        <f t="shared" si="104"/>
        <v>15482.691666666668</v>
      </c>
      <c r="Y356" s="786">
        <v>1.4E-3</v>
      </c>
      <c r="AA356" s="787">
        <f t="shared" si="101"/>
        <v>0</v>
      </c>
      <c r="AC356" s="764" t="s">
        <v>912</v>
      </c>
    </row>
    <row r="357" spans="1:29">
      <c r="A357" s="763">
        <f t="shared" si="93"/>
        <v>304</v>
      </c>
      <c r="C357" s="805" t="s">
        <v>911</v>
      </c>
      <c r="E357" s="764" t="s">
        <v>912</v>
      </c>
      <c r="G357" s="764" t="s">
        <v>913</v>
      </c>
      <c r="I357" s="806" t="s">
        <v>921</v>
      </c>
      <c r="K357" s="794">
        <v>10000</v>
      </c>
      <c r="M357" s="809">
        <v>80000</v>
      </c>
      <c r="O357" s="782">
        <f>'J-2'!$G$26*365/12</f>
        <v>9.9888333333333339</v>
      </c>
      <c r="Q357" s="797">
        <f t="shared" si="102"/>
        <v>99888.333333333343</v>
      </c>
      <c r="S357" s="784">
        <f>'J-2'!$I$26</f>
        <v>3.0999999999999999E-3</v>
      </c>
      <c r="U357" s="819">
        <f t="shared" si="103"/>
        <v>248</v>
      </c>
      <c r="W357" s="797">
        <f t="shared" si="104"/>
        <v>100136.33333333334</v>
      </c>
      <c r="Y357" s="786">
        <v>1.4E-3</v>
      </c>
      <c r="AA357" s="787">
        <f t="shared" si="101"/>
        <v>112</v>
      </c>
      <c r="AC357" s="764" t="s">
        <v>912</v>
      </c>
    </row>
    <row r="358" spans="1:29">
      <c r="A358" s="763">
        <f t="shared" si="93"/>
        <v>305</v>
      </c>
      <c r="C358" s="805" t="s">
        <v>922</v>
      </c>
      <c r="E358" s="764" t="s">
        <v>912</v>
      </c>
      <c r="G358" s="764" t="s">
        <v>913</v>
      </c>
      <c r="I358" s="806" t="s">
        <v>923</v>
      </c>
      <c r="K358" s="794">
        <v>200</v>
      </c>
      <c r="M358" s="798">
        <v>0</v>
      </c>
      <c r="O358" s="782">
        <f>'J-2'!$G$26*365/12</f>
        <v>9.9888333333333339</v>
      </c>
      <c r="Q358" s="797">
        <f t="shared" si="102"/>
        <v>1997.7666666666669</v>
      </c>
      <c r="S358" s="784">
        <f>'J-2'!$I$26</f>
        <v>3.0999999999999999E-3</v>
      </c>
      <c r="U358" s="819">
        <f t="shared" si="103"/>
        <v>0</v>
      </c>
      <c r="W358" s="797">
        <f t="shared" si="104"/>
        <v>1997.7666666666669</v>
      </c>
      <c r="Y358" s="786">
        <v>1.4E-3</v>
      </c>
      <c r="AA358" s="787">
        <f t="shared" si="101"/>
        <v>0</v>
      </c>
      <c r="AC358" s="764" t="s">
        <v>912</v>
      </c>
    </row>
    <row r="359" spans="1:29">
      <c r="A359" s="763">
        <f t="shared" si="93"/>
        <v>306</v>
      </c>
      <c r="C359" s="805" t="s">
        <v>989</v>
      </c>
      <c r="E359" s="764" t="s">
        <v>912</v>
      </c>
      <c r="G359" s="764" t="s">
        <v>913</v>
      </c>
      <c r="I359" s="806" t="s">
        <v>925</v>
      </c>
      <c r="K359" s="794">
        <v>550</v>
      </c>
      <c r="M359" s="809">
        <v>12400</v>
      </c>
      <c r="O359" s="782">
        <f>'J-2'!$G$26*365/12</f>
        <v>9.9888333333333339</v>
      </c>
      <c r="Q359" s="797">
        <f t="shared" si="102"/>
        <v>5493.8583333333336</v>
      </c>
      <c r="S359" s="784">
        <f>'J-2'!$I$26</f>
        <v>3.0999999999999999E-3</v>
      </c>
      <c r="U359" s="819">
        <f t="shared" si="103"/>
        <v>38.44</v>
      </c>
      <c r="W359" s="797">
        <f t="shared" si="104"/>
        <v>5532.2983333333332</v>
      </c>
      <c r="Y359" s="786">
        <v>1.4E-3</v>
      </c>
      <c r="AA359" s="787">
        <f t="shared" si="101"/>
        <v>17.36</v>
      </c>
      <c r="AC359" s="764" t="s">
        <v>912</v>
      </c>
    </row>
    <row r="360" spans="1:29">
      <c r="A360" s="763">
        <f t="shared" si="93"/>
        <v>307</v>
      </c>
      <c r="C360" s="805" t="s">
        <v>911</v>
      </c>
      <c r="E360" s="764" t="s">
        <v>912</v>
      </c>
      <c r="G360" s="764" t="s">
        <v>913</v>
      </c>
      <c r="I360" s="806" t="s">
        <v>926</v>
      </c>
      <c r="K360" s="794">
        <v>5661</v>
      </c>
      <c r="M360" s="809">
        <v>45288</v>
      </c>
      <c r="O360" s="782">
        <f>'J-2'!$G$26*365/12</f>
        <v>9.9888333333333339</v>
      </c>
      <c r="Q360" s="797">
        <f t="shared" si="102"/>
        <v>56546.785500000005</v>
      </c>
      <c r="S360" s="784">
        <f>'J-2'!$I$26</f>
        <v>3.0999999999999999E-3</v>
      </c>
      <c r="U360" s="819">
        <f t="shared" si="103"/>
        <v>140.39279999999999</v>
      </c>
      <c r="W360" s="797">
        <f t="shared" si="104"/>
        <v>56687.178300000007</v>
      </c>
      <c r="Y360" s="786">
        <v>1.4E-3</v>
      </c>
      <c r="AA360" s="787">
        <f t="shared" si="101"/>
        <v>63.403199999999998</v>
      </c>
      <c r="AC360" s="764" t="s">
        <v>912</v>
      </c>
    </row>
    <row r="361" spans="1:29">
      <c r="A361" s="763">
        <f t="shared" si="93"/>
        <v>308</v>
      </c>
      <c r="C361" s="805" t="s">
        <v>911</v>
      </c>
      <c r="E361" s="764" t="s">
        <v>912</v>
      </c>
      <c r="G361" s="764" t="s">
        <v>913</v>
      </c>
      <c r="I361" s="806" t="s">
        <v>927</v>
      </c>
      <c r="K361" s="794">
        <v>5690</v>
      </c>
      <c r="M361" s="809">
        <v>45520</v>
      </c>
      <c r="O361" s="782">
        <f>'J-2'!$G$26*365/12</f>
        <v>9.9888333333333339</v>
      </c>
      <c r="Q361" s="797">
        <f t="shared" si="102"/>
        <v>56836.46166666667</v>
      </c>
      <c r="S361" s="784">
        <f>'J-2'!$I$26</f>
        <v>3.0999999999999999E-3</v>
      </c>
      <c r="U361" s="819">
        <f t="shared" si="103"/>
        <v>141.11199999999999</v>
      </c>
      <c r="W361" s="797">
        <f t="shared" si="104"/>
        <v>56977.573666666671</v>
      </c>
      <c r="Y361" s="786">
        <v>1.4E-3</v>
      </c>
      <c r="AA361" s="787">
        <f t="shared" si="101"/>
        <v>63.728000000000002</v>
      </c>
      <c r="AC361" s="764" t="s">
        <v>912</v>
      </c>
    </row>
    <row r="362" spans="1:29">
      <c r="A362" s="763">
        <f t="shared" si="93"/>
        <v>309</v>
      </c>
      <c r="C362" s="805" t="s">
        <v>928</v>
      </c>
      <c r="E362" s="764" t="s">
        <v>912</v>
      </c>
      <c r="G362" s="764" t="s">
        <v>913</v>
      </c>
      <c r="I362" s="806" t="s">
        <v>929</v>
      </c>
      <c r="K362" s="794">
        <v>8000</v>
      </c>
      <c r="M362" s="798">
        <v>0</v>
      </c>
      <c r="O362" s="782">
        <f>'J-2'!$G$26*365/12</f>
        <v>9.9888333333333339</v>
      </c>
      <c r="Q362" s="797">
        <f t="shared" si="102"/>
        <v>79910.666666666672</v>
      </c>
      <c r="S362" s="784">
        <f>'J-2'!$I$26</f>
        <v>3.0999999999999999E-3</v>
      </c>
      <c r="U362" s="819">
        <f t="shared" si="103"/>
        <v>0</v>
      </c>
      <c r="W362" s="797">
        <f t="shared" si="104"/>
        <v>79910.666666666672</v>
      </c>
      <c r="Y362" s="786">
        <v>1.4E-3</v>
      </c>
      <c r="AA362" s="787">
        <f t="shared" si="101"/>
        <v>0</v>
      </c>
      <c r="AC362" s="764" t="s">
        <v>912</v>
      </c>
    </row>
    <row r="363" spans="1:29">
      <c r="A363" s="763">
        <f t="shared" si="93"/>
        <v>310</v>
      </c>
      <c r="C363" s="805" t="s">
        <v>928</v>
      </c>
      <c r="E363" s="764" t="s">
        <v>912</v>
      </c>
      <c r="G363" s="764" t="s">
        <v>913</v>
      </c>
      <c r="I363" s="806" t="s">
        <v>930</v>
      </c>
      <c r="K363" s="794">
        <v>16500</v>
      </c>
      <c r="M363" s="798">
        <v>0</v>
      </c>
      <c r="O363" s="782">
        <f>'J-2'!$G$26*365/12</f>
        <v>9.9888333333333339</v>
      </c>
      <c r="Q363" s="797">
        <f t="shared" si="102"/>
        <v>164815.75</v>
      </c>
      <c r="S363" s="784">
        <f>'J-2'!$I$26</f>
        <v>3.0999999999999999E-3</v>
      </c>
      <c r="U363" s="819">
        <f t="shared" si="103"/>
        <v>0</v>
      </c>
      <c r="W363" s="797">
        <f t="shared" si="104"/>
        <v>164815.75</v>
      </c>
      <c r="Y363" s="786">
        <v>1.4E-3</v>
      </c>
      <c r="AA363" s="787">
        <f t="shared" si="101"/>
        <v>0</v>
      </c>
      <c r="AC363" s="764" t="s">
        <v>912</v>
      </c>
    </row>
    <row r="364" spans="1:29">
      <c r="A364" s="763">
        <f t="shared" si="93"/>
        <v>311</v>
      </c>
      <c r="C364" s="775" t="s">
        <v>928</v>
      </c>
      <c r="D364" s="776"/>
      <c r="E364" s="777" t="s">
        <v>912</v>
      </c>
      <c r="F364" s="777"/>
      <c r="G364" s="777" t="s">
        <v>913</v>
      </c>
      <c r="H364" s="776"/>
      <c r="I364" s="778" t="s">
        <v>1021</v>
      </c>
      <c r="J364" s="776"/>
      <c r="K364" s="779">
        <v>5951</v>
      </c>
      <c r="L364" s="780"/>
      <c r="M364" s="789">
        <f>K364*365/12*'G-1 '!$M$504</f>
        <v>0</v>
      </c>
      <c r="N364" s="776"/>
      <c r="O364" s="782">
        <f>'J-2'!$G$26*365/12</f>
        <v>9.9888333333333339</v>
      </c>
      <c r="P364" s="776"/>
      <c r="Q364" s="783">
        <f t="shared" si="102"/>
        <v>59443.547166666671</v>
      </c>
      <c r="R364" s="776"/>
      <c r="S364" s="784">
        <f>'J-2'!$I$26</f>
        <v>3.0999999999999999E-3</v>
      </c>
      <c r="T364" s="776"/>
      <c r="U364" s="785">
        <f t="shared" si="103"/>
        <v>0</v>
      </c>
      <c r="V364" s="776"/>
      <c r="W364" s="783">
        <f t="shared" si="104"/>
        <v>59443.547166666671</v>
      </c>
      <c r="Y364" s="786">
        <v>1.4E-3</v>
      </c>
      <c r="AA364" s="787">
        <f t="shared" si="101"/>
        <v>0</v>
      </c>
      <c r="AC364" s="764" t="s">
        <v>912</v>
      </c>
    </row>
    <row r="365" spans="1:29">
      <c r="A365" s="763">
        <f t="shared" si="93"/>
        <v>312</v>
      </c>
      <c r="C365" s="805" t="s">
        <v>911</v>
      </c>
      <c r="E365" s="764" t="s">
        <v>912</v>
      </c>
      <c r="G365" s="764" t="s">
        <v>913</v>
      </c>
      <c r="I365" s="806" t="s">
        <v>931</v>
      </c>
      <c r="K365" s="794">
        <v>5722</v>
      </c>
      <c r="M365" s="809">
        <v>45776</v>
      </c>
      <c r="O365" s="782">
        <f>'J-2'!$G$26*365/12</f>
        <v>9.9888333333333339</v>
      </c>
      <c r="Q365" s="797">
        <f t="shared" si="102"/>
        <v>57156.104333333336</v>
      </c>
      <c r="S365" s="784">
        <f>'J-2'!$I$26</f>
        <v>3.0999999999999999E-3</v>
      </c>
      <c r="U365" s="819">
        <f t="shared" si="103"/>
        <v>141.90559999999999</v>
      </c>
      <c r="W365" s="797">
        <f t="shared" si="104"/>
        <v>57298.009933333335</v>
      </c>
      <c r="Y365" s="786">
        <v>1.4E-3</v>
      </c>
      <c r="AA365" s="787">
        <f t="shared" si="101"/>
        <v>64.086399999999998</v>
      </c>
      <c r="AC365" s="764" t="s">
        <v>912</v>
      </c>
    </row>
    <row r="366" spans="1:29">
      <c r="A366" s="763">
        <f t="shared" si="93"/>
        <v>313</v>
      </c>
      <c r="C366" s="805" t="s">
        <v>932</v>
      </c>
      <c r="E366" s="764" t="s">
        <v>912</v>
      </c>
      <c r="G366" s="764" t="s">
        <v>913</v>
      </c>
      <c r="I366" s="806" t="s">
        <v>933</v>
      </c>
      <c r="K366" s="794">
        <v>760</v>
      </c>
      <c r="M366" s="809">
        <v>23560</v>
      </c>
      <c r="O366" s="782">
        <f>'J-2'!$G$26*365/12</f>
        <v>9.9888333333333339</v>
      </c>
      <c r="Q366" s="797">
        <f t="shared" si="102"/>
        <v>7591.5133333333333</v>
      </c>
      <c r="S366" s="784">
        <f>'J-2'!$I$26</f>
        <v>3.0999999999999999E-3</v>
      </c>
      <c r="U366" s="819">
        <f t="shared" si="103"/>
        <v>73.036000000000001</v>
      </c>
      <c r="W366" s="797">
        <f t="shared" si="104"/>
        <v>7664.5493333333334</v>
      </c>
      <c r="Y366" s="786">
        <v>1.4E-3</v>
      </c>
      <c r="AA366" s="787">
        <f t="shared" si="101"/>
        <v>32.984000000000002</v>
      </c>
      <c r="AC366" s="764" t="s">
        <v>912</v>
      </c>
    </row>
    <row r="367" spans="1:29">
      <c r="A367" s="763">
        <f t="shared" si="93"/>
        <v>314</v>
      </c>
      <c r="C367" s="805" t="s">
        <v>922</v>
      </c>
      <c r="E367" s="764" t="s">
        <v>912</v>
      </c>
      <c r="G367" s="764" t="s">
        <v>913</v>
      </c>
      <c r="I367" s="806" t="s">
        <v>934</v>
      </c>
      <c r="K367" s="794">
        <v>150</v>
      </c>
      <c r="M367" s="798">
        <v>0</v>
      </c>
      <c r="O367" s="782">
        <f>'J-2'!$G$26*365/12</f>
        <v>9.9888333333333339</v>
      </c>
      <c r="Q367" s="797">
        <f t="shared" si="102"/>
        <v>1498.325</v>
      </c>
      <c r="S367" s="784">
        <f>'J-2'!$I$26</f>
        <v>3.0999999999999999E-3</v>
      </c>
      <c r="U367" s="819">
        <f t="shared" si="103"/>
        <v>0</v>
      </c>
      <c r="W367" s="797">
        <f t="shared" si="104"/>
        <v>1498.325</v>
      </c>
      <c r="Y367" s="786">
        <v>1.4E-3</v>
      </c>
      <c r="AA367" s="787">
        <f t="shared" si="101"/>
        <v>0</v>
      </c>
      <c r="AC367" s="764" t="s">
        <v>912</v>
      </c>
    </row>
    <row r="368" spans="1:29">
      <c r="A368" s="763">
        <f t="shared" si="93"/>
        <v>315</v>
      </c>
      <c r="C368" s="805" t="s">
        <v>922</v>
      </c>
      <c r="E368" s="764" t="s">
        <v>912</v>
      </c>
      <c r="G368" s="764" t="s">
        <v>913</v>
      </c>
      <c r="I368" s="806" t="s">
        <v>935</v>
      </c>
      <c r="K368" s="794">
        <v>250</v>
      </c>
      <c r="M368" s="798">
        <v>0</v>
      </c>
      <c r="O368" s="782">
        <f>'J-2'!$G$26*365/12</f>
        <v>9.9888333333333339</v>
      </c>
      <c r="Q368" s="797">
        <f t="shared" si="102"/>
        <v>2497.2083333333335</v>
      </c>
      <c r="S368" s="784">
        <f>'J-2'!$I$26</f>
        <v>3.0999999999999999E-3</v>
      </c>
      <c r="U368" s="819">
        <f t="shared" si="103"/>
        <v>0</v>
      </c>
      <c r="W368" s="797">
        <f t="shared" si="104"/>
        <v>2497.2083333333335</v>
      </c>
      <c r="Y368" s="786">
        <v>1.4E-3</v>
      </c>
      <c r="AA368" s="787">
        <f t="shared" si="101"/>
        <v>0</v>
      </c>
      <c r="AC368" s="764" t="s">
        <v>912</v>
      </c>
    </row>
    <row r="369" spans="1:32">
      <c r="A369" s="763">
        <f t="shared" si="93"/>
        <v>316</v>
      </c>
      <c r="C369" s="805" t="s">
        <v>922</v>
      </c>
      <c r="E369" s="764" t="s">
        <v>912</v>
      </c>
      <c r="G369" s="764" t="s">
        <v>913</v>
      </c>
      <c r="I369" s="806" t="s">
        <v>936</v>
      </c>
      <c r="K369" s="794">
        <v>400</v>
      </c>
      <c r="M369" s="809">
        <v>10270</v>
      </c>
      <c r="O369" s="782">
        <f>'J-2'!$G$26*365/12</f>
        <v>9.9888333333333339</v>
      </c>
      <c r="Q369" s="797">
        <f t="shared" si="102"/>
        <v>3995.5333333333338</v>
      </c>
      <c r="S369" s="784">
        <f>'J-2'!$I$26</f>
        <v>3.0999999999999999E-3</v>
      </c>
      <c r="U369" s="819">
        <f t="shared" si="103"/>
        <v>31.837</v>
      </c>
      <c r="W369" s="797">
        <f t="shared" si="104"/>
        <v>4027.3703333333337</v>
      </c>
      <c r="Y369" s="786">
        <v>1.4E-3</v>
      </c>
      <c r="AA369" s="787">
        <f t="shared" si="101"/>
        <v>14.378</v>
      </c>
      <c r="AC369" s="764" t="s">
        <v>912</v>
      </c>
    </row>
    <row r="370" spans="1:32">
      <c r="A370" s="763">
        <f t="shared" si="93"/>
        <v>317</v>
      </c>
      <c r="C370" s="805" t="s">
        <v>911</v>
      </c>
      <c r="E370" s="764" t="s">
        <v>912</v>
      </c>
      <c r="G370" s="764" t="s">
        <v>913</v>
      </c>
      <c r="I370" s="806" t="s">
        <v>937</v>
      </c>
      <c r="K370" s="794">
        <v>40000</v>
      </c>
      <c r="M370" s="809">
        <v>40000</v>
      </c>
      <c r="O370" s="782">
        <f>'J-2'!$G$26*365/12</f>
        <v>9.9888333333333339</v>
      </c>
      <c r="Q370" s="797">
        <f t="shared" si="102"/>
        <v>399553.33333333337</v>
      </c>
      <c r="S370" s="784">
        <f>'J-2'!$I$26</f>
        <v>3.0999999999999999E-3</v>
      </c>
      <c r="U370" s="819">
        <f t="shared" si="103"/>
        <v>124</v>
      </c>
      <c r="W370" s="797">
        <f t="shared" si="104"/>
        <v>399677.33333333337</v>
      </c>
      <c r="Y370" s="786">
        <v>1.4E-3</v>
      </c>
      <c r="AA370" s="787">
        <f t="shared" si="101"/>
        <v>56</v>
      </c>
      <c r="AC370" s="764" t="s">
        <v>912</v>
      </c>
    </row>
    <row r="371" spans="1:32">
      <c r="A371" s="763">
        <f t="shared" si="93"/>
        <v>318</v>
      </c>
      <c r="C371" s="805" t="s">
        <v>990</v>
      </c>
      <c r="E371" s="764" t="s">
        <v>912</v>
      </c>
      <c r="G371" s="764" t="s">
        <v>913</v>
      </c>
      <c r="I371" s="806" t="s">
        <v>939</v>
      </c>
      <c r="K371" s="794">
        <v>800</v>
      </c>
      <c r="M371" s="809">
        <v>20740</v>
      </c>
      <c r="O371" s="782">
        <f>'J-2'!$G$26*365/12</f>
        <v>9.9888333333333339</v>
      </c>
      <c r="Q371" s="797">
        <f t="shared" si="102"/>
        <v>7991.0666666666675</v>
      </c>
      <c r="S371" s="784">
        <f>'J-2'!$I$26</f>
        <v>3.0999999999999999E-3</v>
      </c>
      <c r="U371" s="819">
        <f t="shared" si="103"/>
        <v>64.293999999999997</v>
      </c>
      <c r="W371" s="797">
        <f t="shared" si="104"/>
        <v>8055.3606666666674</v>
      </c>
      <c r="Y371" s="786">
        <v>1.4E-3</v>
      </c>
      <c r="AA371" s="787">
        <f t="shared" si="101"/>
        <v>29.036000000000001</v>
      </c>
      <c r="AC371" s="764" t="s">
        <v>912</v>
      </c>
    </row>
    <row r="372" spans="1:32">
      <c r="A372" s="763">
        <f t="shared" si="93"/>
        <v>319</v>
      </c>
      <c r="C372" s="805" t="s">
        <v>990</v>
      </c>
      <c r="E372" s="764" t="s">
        <v>912</v>
      </c>
      <c r="G372" s="764" t="s">
        <v>913</v>
      </c>
      <c r="I372" s="806" t="s">
        <v>940</v>
      </c>
      <c r="K372" s="794">
        <v>200</v>
      </c>
      <c r="M372" s="809">
        <v>650</v>
      </c>
      <c r="O372" s="782">
        <f>'J-2'!$G$26*365/12</f>
        <v>9.9888333333333339</v>
      </c>
      <c r="Q372" s="797">
        <f t="shared" si="102"/>
        <v>1997.7666666666669</v>
      </c>
      <c r="S372" s="784">
        <f>'J-2'!$I$26</f>
        <v>3.0999999999999999E-3</v>
      </c>
      <c r="U372" s="819">
        <f t="shared" si="103"/>
        <v>2.0150000000000001</v>
      </c>
      <c r="W372" s="797">
        <f t="shared" si="104"/>
        <v>1999.781666666667</v>
      </c>
      <c r="Y372" s="786">
        <v>1.4E-3</v>
      </c>
      <c r="AA372" s="787">
        <f t="shared" si="101"/>
        <v>0.91</v>
      </c>
      <c r="AC372" s="764" t="s">
        <v>912</v>
      </c>
    </row>
    <row r="373" spans="1:32">
      <c r="A373" s="763">
        <f t="shared" si="93"/>
        <v>320</v>
      </c>
      <c r="C373" s="805" t="s">
        <v>990</v>
      </c>
      <c r="E373" s="764" t="s">
        <v>912</v>
      </c>
      <c r="G373" s="764" t="s">
        <v>913</v>
      </c>
      <c r="I373" s="806" t="s">
        <v>941</v>
      </c>
      <c r="K373" s="794">
        <v>400</v>
      </c>
      <c r="M373" s="798">
        <v>0</v>
      </c>
      <c r="O373" s="782">
        <f>'J-2'!$G$26*365/12</f>
        <v>9.9888333333333339</v>
      </c>
      <c r="Q373" s="797">
        <f t="shared" si="102"/>
        <v>3995.5333333333338</v>
      </c>
      <c r="S373" s="784">
        <f>'J-2'!$I$26</f>
        <v>3.0999999999999999E-3</v>
      </c>
      <c r="U373" s="819">
        <f t="shared" si="103"/>
        <v>0</v>
      </c>
      <c r="W373" s="797">
        <f t="shared" si="104"/>
        <v>3995.5333333333338</v>
      </c>
      <c r="Y373" s="786">
        <v>1.4E-3</v>
      </c>
      <c r="AA373" s="787">
        <f t="shared" si="101"/>
        <v>0</v>
      </c>
      <c r="AC373" s="764" t="s">
        <v>912</v>
      </c>
    </row>
    <row r="374" spans="1:32">
      <c r="A374" s="763">
        <f t="shared" si="93"/>
        <v>321</v>
      </c>
      <c r="C374" s="790" t="s">
        <v>960</v>
      </c>
      <c r="K374" s="791">
        <f>SUM(K353:K373)</f>
        <v>209934</v>
      </c>
      <c r="M374" s="792">
        <f>SUM(M353:M373)</f>
        <v>1510156</v>
      </c>
      <c r="Q374" s="843">
        <f>SUM(Q353:Q373)</f>
        <v>2096995.7370000002</v>
      </c>
      <c r="U374" s="843">
        <f>SUM(U353:U373)</f>
        <v>4681.4836000000005</v>
      </c>
      <c r="W374" s="843">
        <f>SUM(W353:W373)</f>
        <v>2101677.2205999997</v>
      </c>
      <c r="AA374" s="793">
        <f>SUM(AA353:AA373)</f>
        <v>2114.2183999999997</v>
      </c>
      <c r="AF374" s="808"/>
    </row>
    <row r="375" spans="1:32">
      <c r="A375" s="763" t="str">
        <f t="shared" si="93"/>
        <v/>
      </c>
      <c r="C375" s="790" t="s">
        <v>961</v>
      </c>
    </row>
    <row r="376" spans="1:32">
      <c r="A376" s="763">
        <v>322</v>
      </c>
      <c r="C376" s="822" t="s">
        <v>958</v>
      </c>
      <c r="D376" s="769"/>
      <c r="E376" s="823" t="s">
        <v>912</v>
      </c>
      <c r="F376" s="823"/>
      <c r="G376" s="823" t="s">
        <v>962</v>
      </c>
      <c r="H376" s="769"/>
      <c r="I376" s="824" t="s">
        <v>996</v>
      </c>
      <c r="J376" s="769"/>
      <c r="K376" s="825">
        <v>0</v>
      </c>
      <c r="L376" s="769"/>
      <c r="M376" s="839">
        <v>7810</v>
      </c>
      <c r="N376" s="769"/>
      <c r="O376" s="782">
        <f>'J-2'!$G$26*365/12</f>
        <v>9.9888333333333339</v>
      </c>
      <c r="Q376" s="797">
        <f t="shared" ref="Q376:Q381" si="105">K376*O376</f>
        <v>0</v>
      </c>
      <c r="S376" s="784">
        <f>'J-2'!$I$26</f>
        <v>3.0999999999999999E-3</v>
      </c>
      <c r="U376" s="819">
        <f t="shared" ref="U376:U381" si="106">S376*M376</f>
        <v>24.210999999999999</v>
      </c>
      <c r="W376" s="808">
        <f>Q376+U376</f>
        <v>24.210999999999999</v>
      </c>
      <c r="Y376" s="786">
        <v>1.4E-3</v>
      </c>
      <c r="AA376" s="787">
        <f t="shared" ref="AA376:AA381" si="107">Y376*M376</f>
        <v>10.933999999999999</v>
      </c>
      <c r="AC376" s="764" t="s">
        <v>912</v>
      </c>
    </row>
    <row r="377" spans="1:32">
      <c r="A377" s="763">
        <f t="shared" si="93"/>
        <v>323</v>
      </c>
      <c r="C377" s="822" t="s">
        <v>991</v>
      </c>
      <c r="D377" s="769"/>
      <c r="E377" s="823" t="s">
        <v>912</v>
      </c>
      <c r="F377" s="823"/>
      <c r="G377" s="823" t="s">
        <v>962</v>
      </c>
      <c r="H377" s="769"/>
      <c r="I377" s="824" t="s">
        <v>998</v>
      </c>
      <c r="J377" s="769"/>
      <c r="K377" s="825">
        <v>0</v>
      </c>
      <c r="L377" s="769"/>
      <c r="M377" s="838">
        <v>190878</v>
      </c>
      <c r="N377" s="769"/>
      <c r="O377" s="782">
        <f>'J-2'!$G$26*365/12</f>
        <v>9.9888333333333339</v>
      </c>
      <c r="Q377" s="797">
        <f t="shared" si="105"/>
        <v>0</v>
      </c>
      <c r="S377" s="784">
        <f>'J-2'!$I$26</f>
        <v>3.0999999999999999E-3</v>
      </c>
      <c r="U377" s="819">
        <f t="shared" si="106"/>
        <v>591.72180000000003</v>
      </c>
      <c r="W377" s="808">
        <f t="shared" ref="W377:W384" si="108">Q377+U377</f>
        <v>591.72180000000003</v>
      </c>
      <c r="Y377" s="786">
        <v>1.4E-3</v>
      </c>
      <c r="AA377" s="787">
        <f t="shared" si="107"/>
        <v>267.22919999999999</v>
      </c>
      <c r="AC377" s="764" t="s">
        <v>912</v>
      </c>
    </row>
    <row r="378" spans="1:32">
      <c r="A378" s="763">
        <f t="shared" si="93"/>
        <v>324</v>
      </c>
      <c r="C378" s="822" t="s">
        <v>932</v>
      </c>
      <c r="D378" s="769"/>
      <c r="E378" s="823" t="s">
        <v>912</v>
      </c>
      <c r="F378" s="823"/>
      <c r="G378" s="823" t="s">
        <v>962</v>
      </c>
      <c r="H378" s="769"/>
      <c r="I378" s="824" t="s">
        <v>999</v>
      </c>
      <c r="J378" s="769"/>
      <c r="K378" s="825">
        <v>0</v>
      </c>
      <c r="L378" s="769"/>
      <c r="M378" s="838">
        <v>4650</v>
      </c>
      <c r="N378" s="769"/>
      <c r="O378" s="782">
        <f>'J-2'!$G$26*365/12</f>
        <v>9.9888333333333339</v>
      </c>
      <c r="Q378" s="797">
        <f t="shared" si="105"/>
        <v>0</v>
      </c>
      <c r="S378" s="784">
        <f>'J-2'!$I$26</f>
        <v>3.0999999999999999E-3</v>
      </c>
      <c r="U378" s="819">
        <f t="shared" si="106"/>
        <v>14.414999999999999</v>
      </c>
      <c r="W378" s="808">
        <f t="shared" si="108"/>
        <v>14.414999999999999</v>
      </c>
      <c r="Y378" s="786">
        <v>1.4E-3</v>
      </c>
      <c r="AA378" s="787">
        <f t="shared" si="107"/>
        <v>6.51</v>
      </c>
      <c r="AC378" s="764" t="s">
        <v>912</v>
      </c>
    </row>
    <row r="379" spans="1:32">
      <c r="A379" s="763">
        <f t="shared" si="93"/>
        <v>325</v>
      </c>
      <c r="C379" s="822" t="s">
        <v>972</v>
      </c>
      <c r="D379" s="769"/>
      <c r="E379" s="823" t="s">
        <v>912</v>
      </c>
      <c r="F379" s="823"/>
      <c r="G379" s="823" t="s">
        <v>970</v>
      </c>
      <c r="H379" s="769"/>
      <c r="I379" s="824" t="s">
        <v>973</v>
      </c>
      <c r="J379" s="769"/>
      <c r="K379" s="825">
        <v>150</v>
      </c>
      <c r="L379" s="769"/>
      <c r="M379" s="838">
        <v>0</v>
      </c>
      <c r="N379" s="769"/>
      <c r="O379" s="782">
        <f>'J-2'!$G$26*365/12</f>
        <v>9.9888333333333339</v>
      </c>
      <c r="Q379" s="797">
        <f t="shared" si="105"/>
        <v>1498.325</v>
      </c>
      <c r="S379" s="784">
        <f>'J-2'!$I$26</f>
        <v>3.0999999999999999E-3</v>
      </c>
      <c r="U379" s="819">
        <f t="shared" si="106"/>
        <v>0</v>
      </c>
      <c r="W379" s="808">
        <f t="shared" si="108"/>
        <v>1498.325</v>
      </c>
      <c r="Y379" s="786">
        <v>1.4E-3</v>
      </c>
      <c r="AA379" s="787">
        <f t="shared" si="107"/>
        <v>0</v>
      </c>
      <c r="AC379" s="764" t="s">
        <v>912</v>
      </c>
      <c r="AF379" s="795"/>
    </row>
    <row r="380" spans="1:32">
      <c r="A380" s="763">
        <f t="shared" si="93"/>
        <v>326</v>
      </c>
      <c r="C380" s="822" t="s">
        <v>974</v>
      </c>
      <c r="D380" s="769"/>
      <c r="E380" s="823" t="s">
        <v>912</v>
      </c>
      <c r="F380" s="823"/>
      <c r="G380" s="823" t="s">
        <v>970</v>
      </c>
      <c r="H380" s="769"/>
      <c r="I380" s="824" t="s">
        <v>975</v>
      </c>
      <c r="J380" s="769"/>
      <c r="K380" s="825">
        <v>20000</v>
      </c>
      <c r="L380" s="769"/>
      <c r="M380" s="838">
        <v>0</v>
      </c>
      <c r="N380" s="769"/>
      <c r="O380" s="782">
        <f>'J-2'!$G$26*365/12</f>
        <v>9.9888333333333339</v>
      </c>
      <c r="Q380" s="797">
        <f t="shared" si="105"/>
        <v>199776.66666666669</v>
      </c>
      <c r="S380" s="784">
        <f>'J-2'!$I$26</f>
        <v>3.0999999999999999E-3</v>
      </c>
      <c r="U380" s="819">
        <f t="shared" si="106"/>
        <v>0</v>
      </c>
      <c r="W380" s="808">
        <f t="shared" si="108"/>
        <v>199776.66666666669</v>
      </c>
      <c r="Y380" s="786">
        <v>1.4E-3</v>
      </c>
      <c r="AA380" s="787">
        <f t="shared" si="107"/>
        <v>0</v>
      </c>
      <c r="AC380" s="764" t="s">
        <v>912</v>
      </c>
    </row>
    <row r="381" spans="1:32">
      <c r="A381" s="763">
        <f t="shared" si="93"/>
        <v>327</v>
      </c>
      <c r="C381" s="822" t="s">
        <v>992</v>
      </c>
      <c r="D381" s="769"/>
      <c r="E381" s="823" t="s">
        <v>912</v>
      </c>
      <c r="F381" s="823"/>
      <c r="G381" s="823" t="s">
        <v>970</v>
      </c>
      <c r="H381" s="769"/>
      <c r="I381" s="824" t="s">
        <v>963</v>
      </c>
      <c r="J381" s="769"/>
      <c r="K381" s="825">
        <v>500</v>
      </c>
      <c r="L381" s="769"/>
      <c r="M381" s="839">
        <v>6730</v>
      </c>
      <c r="N381" s="769"/>
      <c r="O381" s="782">
        <f>'J-2'!$G$26*365/12</f>
        <v>9.9888333333333339</v>
      </c>
      <c r="Q381" s="797">
        <f t="shared" si="105"/>
        <v>4994.416666666667</v>
      </c>
      <c r="S381" s="784">
        <f>'J-2'!$I$26</f>
        <v>3.0999999999999999E-3</v>
      </c>
      <c r="U381" s="819">
        <f t="shared" si="106"/>
        <v>20.863</v>
      </c>
      <c r="W381" s="808">
        <f t="shared" si="108"/>
        <v>5015.2796666666673</v>
      </c>
      <c r="Y381" s="786">
        <v>1.4E-3</v>
      </c>
      <c r="AA381" s="787">
        <f t="shared" si="107"/>
        <v>9.4220000000000006</v>
      </c>
      <c r="AC381" s="764" t="s">
        <v>912</v>
      </c>
    </row>
    <row r="382" spans="1:32">
      <c r="A382" s="763">
        <f t="shared" si="93"/>
        <v>328</v>
      </c>
      <c r="C382" s="770" t="s">
        <v>976</v>
      </c>
      <c r="K382" s="791">
        <f>SUM(K376:K381)</f>
        <v>20650</v>
      </c>
      <c r="M382" s="792">
        <f>SUM(M376:M381)</f>
        <v>210068</v>
      </c>
      <c r="Q382" s="793">
        <f>SUM(Q376:Q381)</f>
        <v>206269.40833333335</v>
      </c>
      <c r="U382" s="843">
        <f>SUM(U376:U381)</f>
        <v>651.21080000000006</v>
      </c>
      <c r="W382" s="843">
        <f>SUM(W376:W381)</f>
        <v>206920.61913333336</v>
      </c>
      <c r="AA382" s="793">
        <f>SUM(AA376:AA381)</f>
        <v>294.09520000000003</v>
      </c>
    </row>
    <row r="383" spans="1:32">
      <c r="A383" s="763" t="str">
        <f t="shared" si="93"/>
        <v/>
      </c>
      <c r="C383" s="770" t="s">
        <v>877</v>
      </c>
    </row>
    <row r="384" spans="1:32">
      <c r="A384" s="763">
        <v>329</v>
      </c>
      <c r="C384" s="805" t="s">
        <v>932</v>
      </c>
      <c r="E384" s="823" t="s">
        <v>912</v>
      </c>
      <c r="G384" s="823" t="s">
        <v>977</v>
      </c>
      <c r="I384" s="806" t="s">
        <v>978</v>
      </c>
      <c r="K384" s="767">
        <v>0</v>
      </c>
      <c r="M384" s="809">
        <v>47092</v>
      </c>
      <c r="O384" s="837">
        <v>0</v>
      </c>
      <c r="Q384" s="797">
        <f t="shared" ref="Q384" si="109">K384*O384</f>
        <v>0</v>
      </c>
      <c r="S384" s="784">
        <f>'J-2'!$K$28</f>
        <v>0.33150000000000002</v>
      </c>
      <c r="U384" s="819">
        <f t="shared" ref="U384" si="110">S384*M384</f>
        <v>15610.998000000001</v>
      </c>
      <c r="W384" s="808">
        <f t="shared" si="108"/>
        <v>15610.998000000001</v>
      </c>
      <c r="Y384" s="786">
        <v>1.4E-3</v>
      </c>
      <c r="AA384" s="787">
        <f>Y384*M384</f>
        <v>65.928799999999995</v>
      </c>
      <c r="AC384" s="764" t="s">
        <v>912</v>
      </c>
    </row>
    <row r="385" spans="1:29">
      <c r="A385" s="763">
        <f t="shared" si="93"/>
        <v>330</v>
      </c>
      <c r="C385" s="770" t="s">
        <v>982</v>
      </c>
      <c r="K385" s="791">
        <f>SUM(K384)</f>
        <v>0</v>
      </c>
      <c r="M385" s="792">
        <f>SUM(M384)</f>
        <v>47092</v>
      </c>
      <c r="Q385" s="843">
        <f>SUM(Q384)</f>
        <v>0</v>
      </c>
      <c r="U385" s="843">
        <f>SUM(U384)</f>
        <v>15610.998000000001</v>
      </c>
      <c r="W385" s="843">
        <f>SUM(W384)</f>
        <v>15610.998000000001</v>
      </c>
      <c r="AA385" s="793">
        <f>SUM(AA384)</f>
        <v>65.928799999999995</v>
      </c>
    </row>
    <row r="386" spans="1:29">
      <c r="A386" s="763" t="str">
        <f t="shared" si="93"/>
        <v/>
      </c>
    </row>
    <row r="387" spans="1:29">
      <c r="A387" s="763" t="str">
        <f t="shared" si="93"/>
        <v/>
      </c>
      <c r="C387" s="768" t="s">
        <v>1000</v>
      </c>
      <c r="D387" s="768"/>
      <c r="E387" s="802"/>
      <c r="F387" s="802"/>
      <c r="G387" s="802"/>
      <c r="H387" s="768"/>
      <c r="I387" s="802"/>
      <c r="J387" s="768"/>
      <c r="K387" s="803"/>
      <c r="L387" s="768"/>
      <c r="M387" s="804"/>
      <c r="N387" s="768"/>
      <c r="O387" s="768"/>
      <c r="P387" s="768"/>
      <c r="Q387" s="768"/>
      <c r="R387" s="768"/>
      <c r="S387" s="768"/>
      <c r="T387" s="768"/>
      <c r="U387" s="768"/>
      <c r="V387" s="768"/>
      <c r="W387" s="768"/>
      <c r="X387" s="768"/>
      <c r="Y387" s="768"/>
      <c r="Z387" s="768"/>
      <c r="AA387" s="768"/>
      <c r="AB387" s="768"/>
      <c r="AC387" s="768"/>
    </row>
    <row r="388" spans="1:29">
      <c r="A388" s="763" t="str">
        <f t="shared" si="93"/>
        <v/>
      </c>
      <c r="C388" s="770" t="s">
        <v>876</v>
      </c>
    </row>
    <row r="389" spans="1:29">
      <c r="A389" s="763">
        <v>331</v>
      </c>
      <c r="C389" s="805" t="s">
        <v>911</v>
      </c>
      <c r="E389" s="764" t="s">
        <v>912</v>
      </c>
      <c r="G389" s="806" t="s">
        <v>913</v>
      </c>
      <c r="I389" s="806" t="s">
        <v>914</v>
      </c>
      <c r="K389" s="794">
        <v>105750</v>
      </c>
      <c r="M389" s="798">
        <v>1816432</v>
      </c>
      <c r="O389" s="782">
        <f>'J-2'!$G$26*365/12</f>
        <v>9.9888333333333339</v>
      </c>
      <c r="Q389" s="797">
        <f t="shared" ref="Q389:Q409" si="111">K389*O389</f>
        <v>1056319.125</v>
      </c>
      <c r="S389" s="784">
        <f>'J-2'!$I$26</f>
        <v>3.0999999999999999E-3</v>
      </c>
      <c r="U389" s="819">
        <f t="shared" ref="U389:U409" si="112">S389*M389</f>
        <v>5630.9391999999998</v>
      </c>
      <c r="W389" s="797">
        <f t="shared" ref="W389:W409" si="113">Q389+U389</f>
        <v>1061950.0641999999</v>
      </c>
      <c r="Y389" s="786">
        <v>1.4E-3</v>
      </c>
      <c r="AA389" s="787">
        <f t="shared" ref="AA389:AA409" si="114">Y389*M389</f>
        <v>2543.0048000000002</v>
      </c>
      <c r="AC389" s="764" t="s">
        <v>912</v>
      </c>
    </row>
    <row r="390" spans="1:29">
      <c r="A390" s="763">
        <f t="shared" si="93"/>
        <v>332</v>
      </c>
      <c r="C390" s="805" t="s">
        <v>915</v>
      </c>
      <c r="E390" s="764" t="s">
        <v>912</v>
      </c>
      <c r="G390" s="806" t="s">
        <v>913</v>
      </c>
      <c r="I390" s="806" t="s">
        <v>916</v>
      </c>
      <c r="K390" s="794">
        <v>200</v>
      </c>
      <c r="M390" s="809">
        <v>150</v>
      </c>
      <c r="O390" s="782">
        <f>'J-2'!$G$26*365/12</f>
        <v>9.9888333333333339</v>
      </c>
      <c r="Q390" s="797">
        <f t="shared" si="111"/>
        <v>1997.7666666666669</v>
      </c>
      <c r="S390" s="784">
        <f>'J-2'!$I$26</f>
        <v>3.0999999999999999E-3</v>
      </c>
      <c r="U390" s="819">
        <f t="shared" si="112"/>
        <v>0.46499999999999997</v>
      </c>
      <c r="W390" s="797">
        <f t="shared" si="113"/>
        <v>1998.2316666666668</v>
      </c>
      <c r="Y390" s="786">
        <v>1.4E-3</v>
      </c>
      <c r="AA390" s="787">
        <f t="shared" si="114"/>
        <v>0.21</v>
      </c>
      <c r="AC390" s="764" t="s">
        <v>912</v>
      </c>
    </row>
    <row r="391" spans="1:29">
      <c r="A391" s="763">
        <f t="shared" si="93"/>
        <v>333</v>
      </c>
      <c r="C391" s="805" t="s">
        <v>917</v>
      </c>
      <c r="E391" s="764" t="s">
        <v>912</v>
      </c>
      <c r="G391" s="806" t="s">
        <v>913</v>
      </c>
      <c r="I391" s="806" t="s">
        <v>918</v>
      </c>
      <c r="K391" s="794">
        <v>1200</v>
      </c>
      <c r="M391" s="809">
        <v>3000</v>
      </c>
      <c r="O391" s="782">
        <f>'J-2'!$G$26*365/12</f>
        <v>9.9888333333333339</v>
      </c>
      <c r="Q391" s="797">
        <f t="shared" si="111"/>
        <v>11986.6</v>
      </c>
      <c r="S391" s="784">
        <f>'J-2'!$I$26</f>
        <v>3.0999999999999999E-3</v>
      </c>
      <c r="U391" s="819">
        <f t="shared" si="112"/>
        <v>9.2999999999999989</v>
      </c>
      <c r="W391" s="797">
        <f t="shared" si="113"/>
        <v>11995.9</v>
      </c>
      <c r="Y391" s="786">
        <v>1.4E-3</v>
      </c>
      <c r="AA391" s="787">
        <f t="shared" si="114"/>
        <v>4.2</v>
      </c>
      <c r="AC391" s="764" t="s">
        <v>912</v>
      </c>
    </row>
    <row r="392" spans="1:29">
      <c r="A392" s="763">
        <f t="shared" si="93"/>
        <v>334</v>
      </c>
      <c r="C392" s="805" t="s">
        <v>919</v>
      </c>
      <c r="E392" s="764" t="s">
        <v>912</v>
      </c>
      <c r="G392" s="806" t="s">
        <v>913</v>
      </c>
      <c r="I392" s="806" t="s">
        <v>920</v>
      </c>
      <c r="K392" s="794">
        <v>1550</v>
      </c>
      <c r="M392" s="798">
        <v>0</v>
      </c>
      <c r="O392" s="782">
        <f>'J-2'!$G$26*365/12</f>
        <v>9.9888333333333339</v>
      </c>
      <c r="Q392" s="797">
        <f t="shared" si="111"/>
        <v>15482.691666666668</v>
      </c>
      <c r="S392" s="784">
        <f>'J-2'!$I$26</f>
        <v>3.0999999999999999E-3</v>
      </c>
      <c r="U392" s="819">
        <f t="shared" si="112"/>
        <v>0</v>
      </c>
      <c r="W392" s="797">
        <f t="shared" si="113"/>
        <v>15482.691666666668</v>
      </c>
      <c r="Y392" s="786">
        <v>1.4E-3</v>
      </c>
      <c r="AA392" s="787">
        <f t="shared" si="114"/>
        <v>0</v>
      </c>
      <c r="AC392" s="764" t="s">
        <v>912</v>
      </c>
    </row>
    <row r="393" spans="1:29">
      <c r="A393" s="763">
        <f t="shared" si="93"/>
        <v>335</v>
      </c>
      <c r="C393" s="805" t="s">
        <v>911</v>
      </c>
      <c r="E393" s="764" t="s">
        <v>912</v>
      </c>
      <c r="G393" s="806" t="s">
        <v>913</v>
      </c>
      <c r="I393" s="806" t="s">
        <v>921</v>
      </c>
      <c r="K393" s="794">
        <v>10000</v>
      </c>
      <c r="M393" s="809">
        <v>67267</v>
      </c>
      <c r="O393" s="782">
        <f>'J-2'!$G$26*365/12</f>
        <v>9.9888333333333339</v>
      </c>
      <c r="Q393" s="797">
        <f t="shared" si="111"/>
        <v>99888.333333333343</v>
      </c>
      <c r="S393" s="784">
        <f>'J-2'!$I$26</f>
        <v>3.0999999999999999E-3</v>
      </c>
      <c r="U393" s="819">
        <f t="shared" si="112"/>
        <v>208.52769999999998</v>
      </c>
      <c r="W393" s="797">
        <f t="shared" si="113"/>
        <v>100096.86103333335</v>
      </c>
      <c r="Y393" s="786">
        <v>1.4E-3</v>
      </c>
      <c r="AA393" s="787">
        <f t="shared" si="114"/>
        <v>94.1738</v>
      </c>
      <c r="AC393" s="764" t="s">
        <v>912</v>
      </c>
    </row>
    <row r="394" spans="1:29">
      <c r="A394" s="763">
        <f t="shared" si="93"/>
        <v>336</v>
      </c>
      <c r="C394" s="805" t="s">
        <v>922</v>
      </c>
      <c r="E394" s="764" t="s">
        <v>912</v>
      </c>
      <c r="G394" s="806" t="s">
        <v>913</v>
      </c>
      <c r="I394" s="806" t="s">
        <v>923</v>
      </c>
      <c r="K394" s="794">
        <v>200</v>
      </c>
      <c r="M394" s="809">
        <v>4600</v>
      </c>
      <c r="O394" s="782">
        <f>'J-2'!$G$26*365/12</f>
        <v>9.9888333333333339</v>
      </c>
      <c r="Q394" s="797">
        <f t="shared" si="111"/>
        <v>1997.7666666666669</v>
      </c>
      <c r="S394" s="784">
        <f>'J-2'!$I$26</f>
        <v>3.0999999999999999E-3</v>
      </c>
      <c r="U394" s="819">
        <f t="shared" si="112"/>
        <v>14.26</v>
      </c>
      <c r="W394" s="797">
        <f t="shared" si="113"/>
        <v>2012.0266666666669</v>
      </c>
      <c r="Y394" s="786">
        <v>1.4E-3</v>
      </c>
      <c r="AA394" s="787">
        <f t="shared" si="114"/>
        <v>6.4399999999999995</v>
      </c>
      <c r="AC394" s="764" t="s">
        <v>912</v>
      </c>
    </row>
    <row r="395" spans="1:29">
      <c r="A395" s="763">
        <f t="shared" si="93"/>
        <v>337</v>
      </c>
      <c r="C395" s="805" t="s">
        <v>989</v>
      </c>
      <c r="E395" s="764" t="s">
        <v>912</v>
      </c>
      <c r="G395" s="806" t="s">
        <v>913</v>
      </c>
      <c r="I395" s="806" t="s">
        <v>925</v>
      </c>
      <c r="K395" s="794">
        <v>550</v>
      </c>
      <c r="M395" s="809">
        <v>16470</v>
      </c>
      <c r="O395" s="782">
        <f>'J-2'!$G$26*365/12</f>
        <v>9.9888333333333339</v>
      </c>
      <c r="Q395" s="797">
        <f t="shared" si="111"/>
        <v>5493.8583333333336</v>
      </c>
      <c r="S395" s="784">
        <f>'J-2'!$I$26</f>
        <v>3.0999999999999999E-3</v>
      </c>
      <c r="U395" s="819">
        <f t="shared" si="112"/>
        <v>51.056999999999995</v>
      </c>
      <c r="W395" s="797">
        <f t="shared" si="113"/>
        <v>5544.9153333333334</v>
      </c>
      <c r="Y395" s="786">
        <v>1.4E-3</v>
      </c>
      <c r="AA395" s="787">
        <f t="shared" si="114"/>
        <v>23.058</v>
      </c>
      <c r="AC395" s="764" t="s">
        <v>912</v>
      </c>
    </row>
    <row r="396" spans="1:29">
      <c r="A396" s="763">
        <f t="shared" ref="A396:A458" si="115">IF(OR(K396/2&gt;0,M396/2&gt;0),A395+1,"")</f>
        <v>338</v>
      </c>
      <c r="C396" s="805" t="s">
        <v>911</v>
      </c>
      <c r="E396" s="764" t="s">
        <v>912</v>
      </c>
      <c r="G396" s="806" t="s">
        <v>913</v>
      </c>
      <c r="I396" s="806" t="s">
        <v>926</v>
      </c>
      <c r="K396" s="794">
        <v>5661</v>
      </c>
      <c r="M396" s="809">
        <v>38314</v>
      </c>
      <c r="O396" s="782">
        <f>'J-2'!$G$26*365/12</f>
        <v>9.9888333333333339</v>
      </c>
      <c r="Q396" s="797">
        <f t="shared" si="111"/>
        <v>56546.785500000005</v>
      </c>
      <c r="S396" s="784">
        <f>'J-2'!$I$26</f>
        <v>3.0999999999999999E-3</v>
      </c>
      <c r="U396" s="819">
        <f t="shared" si="112"/>
        <v>118.7734</v>
      </c>
      <c r="W396" s="797">
        <f t="shared" si="113"/>
        <v>56665.558900000004</v>
      </c>
      <c r="Y396" s="786">
        <v>1.4E-3</v>
      </c>
      <c r="AA396" s="787">
        <f t="shared" si="114"/>
        <v>53.639600000000002</v>
      </c>
      <c r="AC396" s="764" t="s">
        <v>912</v>
      </c>
    </row>
    <row r="397" spans="1:29">
      <c r="A397" s="763">
        <f t="shared" si="115"/>
        <v>339</v>
      </c>
      <c r="C397" s="805" t="s">
        <v>911</v>
      </c>
      <c r="E397" s="764" t="s">
        <v>912</v>
      </c>
      <c r="G397" s="806" t="s">
        <v>913</v>
      </c>
      <c r="I397" s="806" t="s">
        <v>927</v>
      </c>
      <c r="K397" s="794">
        <v>5690</v>
      </c>
      <c r="M397" s="809">
        <v>38497</v>
      </c>
      <c r="O397" s="782">
        <f>'J-2'!$G$26*365/12</f>
        <v>9.9888333333333339</v>
      </c>
      <c r="Q397" s="797">
        <f t="shared" si="111"/>
        <v>56836.46166666667</v>
      </c>
      <c r="S397" s="784">
        <f>'J-2'!$I$26</f>
        <v>3.0999999999999999E-3</v>
      </c>
      <c r="U397" s="819">
        <f t="shared" si="112"/>
        <v>119.3407</v>
      </c>
      <c r="W397" s="797">
        <f t="shared" si="113"/>
        <v>56955.80236666667</v>
      </c>
      <c r="Y397" s="786">
        <v>1.4E-3</v>
      </c>
      <c r="AA397" s="787">
        <f t="shared" si="114"/>
        <v>53.895800000000001</v>
      </c>
      <c r="AC397" s="764" t="s">
        <v>912</v>
      </c>
    </row>
    <row r="398" spans="1:29">
      <c r="A398" s="763">
        <f t="shared" si="115"/>
        <v>340</v>
      </c>
      <c r="C398" s="805" t="s">
        <v>928</v>
      </c>
      <c r="E398" s="764" t="s">
        <v>912</v>
      </c>
      <c r="G398" s="806" t="s">
        <v>913</v>
      </c>
      <c r="I398" s="806" t="s">
        <v>929</v>
      </c>
      <c r="K398" s="794">
        <v>8000</v>
      </c>
      <c r="M398" s="798">
        <v>224788</v>
      </c>
      <c r="O398" s="782">
        <f>'J-2'!$G$26*365/12</f>
        <v>9.9888333333333339</v>
      </c>
      <c r="Q398" s="797">
        <f t="shared" si="111"/>
        <v>79910.666666666672</v>
      </c>
      <c r="S398" s="784">
        <f>'J-2'!$I$26</f>
        <v>3.0999999999999999E-3</v>
      </c>
      <c r="U398" s="819">
        <f t="shared" si="112"/>
        <v>696.84280000000001</v>
      </c>
      <c r="W398" s="797">
        <f t="shared" si="113"/>
        <v>80607.50946666667</v>
      </c>
      <c r="Y398" s="786">
        <v>1.4E-3</v>
      </c>
      <c r="AA398" s="787">
        <f t="shared" si="114"/>
        <v>314.70319999999998</v>
      </c>
      <c r="AC398" s="764" t="s">
        <v>912</v>
      </c>
    </row>
    <row r="399" spans="1:29">
      <c r="A399" s="763">
        <f t="shared" si="115"/>
        <v>341</v>
      </c>
      <c r="C399" s="805" t="s">
        <v>928</v>
      </c>
      <c r="E399" s="764" t="s">
        <v>912</v>
      </c>
      <c r="G399" s="806" t="s">
        <v>913</v>
      </c>
      <c r="I399" s="806" t="s">
        <v>930</v>
      </c>
      <c r="K399" s="794">
        <v>16500</v>
      </c>
      <c r="M399" s="798">
        <v>0</v>
      </c>
      <c r="O399" s="782">
        <f>'J-2'!$G$26*365/12</f>
        <v>9.9888333333333339</v>
      </c>
      <c r="Q399" s="797">
        <f t="shared" si="111"/>
        <v>164815.75</v>
      </c>
      <c r="S399" s="784">
        <f>'J-2'!$I$26</f>
        <v>3.0999999999999999E-3</v>
      </c>
      <c r="U399" s="819">
        <f t="shared" si="112"/>
        <v>0</v>
      </c>
      <c r="W399" s="797">
        <f t="shared" si="113"/>
        <v>164815.75</v>
      </c>
      <c r="Y399" s="786">
        <v>1.4E-3</v>
      </c>
      <c r="AA399" s="787">
        <f t="shared" si="114"/>
        <v>0</v>
      </c>
      <c r="AC399" s="764" t="s">
        <v>912</v>
      </c>
    </row>
    <row r="400" spans="1:29">
      <c r="A400" s="763">
        <f t="shared" si="115"/>
        <v>342</v>
      </c>
      <c r="C400" s="775" t="s">
        <v>928</v>
      </c>
      <c r="D400" s="776"/>
      <c r="E400" s="777" t="s">
        <v>912</v>
      </c>
      <c r="F400" s="777"/>
      <c r="G400" s="777" t="s">
        <v>913</v>
      </c>
      <c r="H400" s="776"/>
      <c r="I400" s="806" t="s">
        <v>1021</v>
      </c>
      <c r="J400" s="776"/>
      <c r="K400" s="779">
        <v>5951</v>
      </c>
      <c r="L400" s="780"/>
      <c r="M400" s="789">
        <f>K400*365/12*'G-1 '!$M$504</f>
        <v>0</v>
      </c>
      <c r="N400" s="776"/>
      <c r="O400" s="782">
        <f>'J-2'!$G$26*365/12</f>
        <v>9.9888333333333339</v>
      </c>
      <c r="P400" s="776"/>
      <c r="Q400" s="783">
        <f t="shared" si="111"/>
        <v>59443.547166666671</v>
      </c>
      <c r="R400" s="776"/>
      <c r="S400" s="784">
        <f>'J-2'!$I$26</f>
        <v>3.0999999999999999E-3</v>
      </c>
      <c r="T400" s="776"/>
      <c r="U400" s="785">
        <f t="shared" si="112"/>
        <v>0</v>
      </c>
      <c r="V400" s="776"/>
      <c r="W400" s="783">
        <f t="shared" ref="W400" si="116">U400+Q400</f>
        <v>59443.547166666671</v>
      </c>
      <c r="Y400" s="786">
        <v>1.4E-3</v>
      </c>
      <c r="AA400" s="787">
        <f t="shared" si="114"/>
        <v>0</v>
      </c>
      <c r="AC400" s="764" t="s">
        <v>912</v>
      </c>
    </row>
    <row r="401" spans="1:32">
      <c r="A401" s="763">
        <f t="shared" si="115"/>
        <v>343</v>
      </c>
      <c r="C401" s="805" t="s">
        <v>911</v>
      </c>
      <c r="E401" s="764" t="s">
        <v>912</v>
      </c>
      <c r="G401" s="806" t="s">
        <v>913</v>
      </c>
      <c r="I401" s="806" t="s">
        <v>931</v>
      </c>
      <c r="K401" s="794">
        <v>5722</v>
      </c>
      <c r="M401" s="809">
        <v>38700</v>
      </c>
      <c r="O401" s="782">
        <f>'J-2'!$G$26*365/12</f>
        <v>9.9888333333333339</v>
      </c>
      <c r="Q401" s="797">
        <f t="shared" si="111"/>
        <v>57156.104333333336</v>
      </c>
      <c r="S401" s="784">
        <f>'J-2'!$I$26</f>
        <v>3.0999999999999999E-3</v>
      </c>
      <c r="U401" s="819">
        <f t="shared" si="112"/>
        <v>119.97</v>
      </c>
      <c r="W401" s="797">
        <f t="shared" si="113"/>
        <v>57276.074333333338</v>
      </c>
      <c r="Y401" s="786">
        <v>1.4E-3</v>
      </c>
      <c r="AA401" s="787">
        <f t="shared" si="114"/>
        <v>54.18</v>
      </c>
      <c r="AC401" s="764" t="s">
        <v>912</v>
      </c>
    </row>
    <row r="402" spans="1:32">
      <c r="A402" s="763">
        <f t="shared" si="115"/>
        <v>344</v>
      </c>
      <c r="C402" s="805" t="s">
        <v>932</v>
      </c>
      <c r="E402" s="764" t="s">
        <v>912</v>
      </c>
      <c r="G402" s="806" t="s">
        <v>913</v>
      </c>
      <c r="I402" s="806" t="s">
        <v>933</v>
      </c>
      <c r="K402" s="794">
        <v>760</v>
      </c>
      <c r="M402" s="798">
        <v>22800</v>
      </c>
      <c r="O402" s="782">
        <f>'J-2'!$G$26*365/12</f>
        <v>9.9888333333333339</v>
      </c>
      <c r="Q402" s="797">
        <f t="shared" si="111"/>
        <v>7591.5133333333333</v>
      </c>
      <c r="S402" s="784">
        <f>'J-2'!$I$26</f>
        <v>3.0999999999999999E-3</v>
      </c>
      <c r="U402" s="819">
        <f t="shared" si="112"/>
        <v>70.679999999999993</v>
      </c>
      <c r="W402" s="797">
        <f t="shared" si="113"/>
        <v>7662.1933333333336</v>
      </c>
      <c r="Y402" s="786">
        <v>1.4E-3</v>
      </c>
      <c r="AA402" s="787">
        <f t="shared" si="114"/>
        <v>31.919999999999998</v>
      </c>
      <c r="AC402" s="764" t="s">
        <v>912</v>
      </c>
    </row>
    <row r="403" spans="1:32">
      <c r="A403" s="763">
        <f t="shared" si="115"/>
        <v>345</v>
      </c>
      <c r="C403" s="805" t="s">
        <v>922</v>
      </c>
      <c r="E403" s="764" t="s">
        <v>912</v>
      </c>
      <c r="G403" s="806" t="s">
        <v>913</v>
      </c>
      <c r="I403" s="806" t="s">
        <v>934</v>
      </c>
      <c r="K403" s="794">
        <v>150</v>
      </c>
      <c r="M403" s="809">
        <v>3450</v>
      </c>
      <c r="O403" s="782">
        <f>'J-2'!$G$26*365/12</f>
        <v>9.9888333333333339</v>
      </c>
      <c r="Q403" s="797">
        <f t="shared" si="111"/>
        <v>1498.325</v>
      </c>
      <c r="S403" s="784">
        <f>'J-2'!$I$26</f>
        <v>3.0999999999999999E-3</v>
      </c>
      <c r="U403" s="819">
        <f t="shared" si="112"/>
        <v>10.695</v>
      </c>
      <c r="W403" s="797">
        <f t="shared" si="113"/>
        <v>1509.02</v>
      </c>
      <c r="Y403" s="786">
        <v>1.4E-3</v>
      </c>
      <c r="AA403" s="787">
        <f t="shared" si="114"/>
        <v>4.83</v>
      </c>
      <c r="AC403" s="764" t="s">
        <v>912</v>
      </c>
    </row>
    <row r="404" spans="1:32">
      <c r="A404" s="763">
        <f t="shared" si="115"/>
        <v>346</v>
      </c>
      <c r="C404" s="805" t="s">
        <v>922</v>
      </c>
      <c r="E404" s="764" t="s">
        <v>912</v>
      </c>
      <c r="G404" s="806" t="s">
        <v>913</v>
      </c>
      <c r="I404" s="806" t="s">
        <v>935</v>
      </c>
      <c r="K404" s="794">
        <v>250</v>
      </c>
      <c r="M404" s="809">
        <v>7073</v>
      </c>
      <c r="O404" s="782">
        <f>'J-2'!$G$26*365/12</f>
        <v>9.9888333333333339</v>
      </c>
      <c r="Q404" s="797">
        <f t="shared" si="111"/>
        <v>2497.2083333333335</v>
      </c>
      <c r="S404" s="784">
        <f>'J-2'!$I$26</f>
        <v>3.0999999999999999E-3</v>
      </c>
      <c r="U404" s="819">
        <f t="shared" si="112"/>
        <v>21.926299999999998</v>
      </c>
      <c r="W404" s="797">
        <f t="shared" si="113"/>
        <v>2519.1346333333336</v>
      </c>
      <c r="Y404" s="786">
        <v>1.4E-3</v>
      </c>
      <c r="AA404" s="787">
        <f t="shared" si="114"/>
        <v>9.9022000000000006</v>
      </c>
      <c r="AC404" s="764" t="s">
        <v>912</v>
      </c>
    </row>
    <row r="405" spans="1:32">
      <c r="A405" s="763">
        <f t="shared" si="115"/>
        <v>347</v>
      </c>
      <c r="C405" s="805" t="s">
        <v>922</v>
      </c>
      <c r="E405" s="764" t="s">
        <v>912</v>
      </c>
      <c r="G405" s="806" t="s">
        <v>913</v>
      </c>
      <c r="I405" s="806" t="s">
        <v>936</v>
      </c>
      <c r="K405" s="794">
        <v>400</v>
      </c>
      <c r="M405" s="809">
        <v>12000</v>
      </c>
      <c r="O405" s="782">
        <f>'J-2'!$G$26*365/12</f>
        <v>9.9888333333333339</v>
      </c>
      <c r="Q405" s="797">
        <f t="shared" si="111"/>
        <v>3995.5333333333338</v>
      </c>
      <c r="S405" s="784">
        <f>'J-2'!$I$26</f>
        <v>3.0999999999999999E-3</v>
      </c>
      <c r="U405" s="819">
        <f t="shared" si="112"/>
        <v>37.199999999999996</v>
      </c>
      <c r="W405" s="797">
        <f t="shared" si="113"/>
        <v>4032.7333333333336</v>
      </c>
      <c r="Y405" s="786">
        <v>1.4E-3</v>
      </c>
      <c r="AA405" s="787">
        <f t="shared" si="114"/>
        <v>16.8</v>
      </c>
      <c r="AC405" s="764" t="s">
        <v>912</v>
      </c>
    </row>
    <row r="406" spans="1:32">
      <c r="A406" s="763">
        <f t="shared" si="115"/>
        <v>348</v>
      </c>
      <c r="C406" s="805" t="s">
        <v>911</v>
      </c>
      <c r="E406" s="764" t="s">
        <v>912</v>
      </c>
      <c r="G406" s="806" t="s">
        <v>913</v>
      </c>
      <c r="I406" s="806" t="s">
        <v>937</v>
      </c>
      <c r="K406" s="794">
        <v>40000</v>
      </c>
      <c r="M406" s="798">
        <v>319015</v>
      </c>
      <c r="O406" s="782">
        <f>'J-2'!$G$26*365/12</f>
        <v>9.9888333333333339</v>
      </c>
      <c r="Q406" s="797">
        <f t="shared" si="111"/>
        <v>399553.33333333337</v>
      </c>
      <c r="S406" s="784">
        <f>'J-2'!$I$26</f>
        <v>3.0999999999999999E-3</v>
      </c>
      <c r="U406" s="819">
        <f t="shared" si="112"/>
        <v>988.94650000000001</v>
      </c>
      <c r="W406" s="797">
        <f t="shared" si="113"/>
        <v>400542.27983333339</v>
      </c>
      <c r="Y406" s="786">
        <v>1.4E-3</v>
      </c>
      <c r="AA406" s="787">
        <f t="shared" si="114"/>
        <v>446.62099999999998</v>
      </c>
      <c r="AC406" s="764" t="s">
        <v>912</v>
      </c>
    </row>
    <row r="407" spans="1:32">
      <c r="A407" s="763">
        <f t="shared" si="115"/>
        <v>349</v>
      </c>
      <c r="C407" s="805" t="s">
        <v>990</v>
      </c>
      <c r="E407" s="764" t="s">
        <v>912</v>
      </c>
      <c r="G407" s="806" t="s">
        <v>913</v>
      </c>
      <c r="I407" s="806" t="s">
        <v>939</v>
      </c>
      <c r="K407" s="794">
        <v>800</v>
      </c>
      <c r="M407" s="809">
        <v>20686</v>
      </c>
      <c r="O407" s="782">
        <f>'J-2'!$G$26*365/12</f>
        <v>9.9888333333333339</v>
      </c>
      <c r="Q407" s="797">
        <f t="shared" si="111"/>
        <v>7991.0666666666675</v>
      </c>
      <c r="S407" s="784">
        <f>'J-2'!$I$26</f>
        <v>3.0999999999999999E-3</v>
      </c>
      <c r="U407" s="819">
        <f t="shared" si="112"/>
        <v>64.126599999999996</v>
      </c>
      <c r="W407" s="797">
        <f t="shared" si="113"/>
        <v>8055.1932666666671</v>
      </c>
      <c r="Y407" s="786">
        <v>1.4E-3</v>
      </c>
      <c r="AA407" s="787">
        <f t="shared" si="114"/>
        <v>28.9604</v>
      </c>
      <c r="AC407" s="764" t="s">
        <v>912</v>
      </c>
    </row>
    <row r="408" spans="1:32">
      <c r="A408" s="763">
        <f t="shared" si="115"/>
        <v>350</v>
      </c>
      <c r="C408" s="805" t="s">
        <v>990</v>
      </c>
      <c r="E408" s="764" t="s">
        <v>912</v>
      </c>
      <c r="G408" s="806" t="s">
        <v>913</v>
      </c>
      <c r="I408" s="806" t="s">
        <v>940</v>
      </c>
      <c r="K408" s="794">
        <v>200</v>
      </c>
      <c r="M408" s="798">
        <v>0</v>
      </c>
      <c r="O408" s="782">
        <f>'J-2'!$G$26*365/12</f>
        <v>9.9888333333333339</v>
      </c>
      <c r="Q408" s="797">
        <f t="shared" si="111"/>
        <v>1997.7666666666669</v>
      </c>
      <c r="S408" s="784">
        <f>'J-2'!$I$26</f>
        <v>3.0999999999999999E-3</v>
      </c>
      <c r="U408" s="819">
        <f t="shared" si="112"/>
        <v>0</v>
      </c>
      <c r="W408" s="797">
        <f t="shared" si="113"/>
        <v>1997.7666666666669</v>
      </c>
      <c r="Y408" s="786">
        <v>1.4E-3</v>
      </c>
      <c r="AA408" s="787">
        <f t="shared" si="114"/>
        <v>0</v>
      </c>
      <c r="AC408" s="764" t="s">
        <v>912</v>
      </c>
    </row>
    <row r="409" spans="1:32">
      <c r="A409" s="763">
        <f t="shared" si="115"/>
        <v>351</v>
      </c>
      <c r="C409" s="805" t="s">
        <v>990</v>
      </c>
      <c r="E409" s="764" t="s">
        <v>912</v>
      </c>
      <c r="G409" s="806" t="s">
        <v>913</v>
      </c>
      <c r="I409" s="806" t="s">
        <v>941</v>
      </c>
      <c r="K409" s="794">
        <v>400</v>
      </c>
      <c r="M409" s="809">
        <v>5719</v>
      </c>
      <c r="O409" s="782">
        <f>'J-2'!$G$26*365/12</f>
        <v>9.9888333333333339</v>
      </c>
      <c r="Q409" s="797">
        <f t="shared" si="111"/>
        <v>3995.5333333333338</v>
      </c>
      <c r="S409" s="784">
        <f>'J-2'!$I$26</f>
        <v>3.0999999999999999E-3</v>
      </c>
      <c r="U409" s="819">
        <f t="shared" si="112"/>
        <v>17.728899999999999</v>
      </c>
      <c r="W409" s="797">
        <f t="shared" si="113"/>
        <v>4013.2622333333338</v>
      </c>
      <c r="Y409" s="786">
        <v>1.4E-3</v>
      </c>
      <c r="AA409" s="787">
        <f t="shared" si="114"/>
        <v>8.0066000000000006</v>
      </c>
      <c r="AC409" s="764" t="s">
        <v>912</v>
      </c>
    </row>
    <row r="410" spans="1:32">
      <c r="A410" s="763">
        <f t="shared" si="115"/>
        <v>352</v>
      </c>
      <c r="C410" s="790" t="s">
        <v>960</v>
      </c>
      <c r="K410" s="791">
        <f>SUM(K389:K409)</f>
        <v>209934</v>
      </c>
      <c r="M410" s="792">
        <f>SUM(M389:M409)</f>
        <v>2638961</v>
      </c>
      <c r="Q410" s="793">
        <f>SUM(Q389:Q409)</f>
        <v>2096995.7370000002</v>
      </c>
      <c r="U410" s="793">
        <f>SUM(U389:U409)</f>
        <v>8180.7790999999997</v>
      </c>
      <c r="W410" s="793">
        <f>SUM(W389:W409)</f>
        <v>2105176.5161000001</v>
      </c>
      <c r="AA410" s="793">
        <f>SUM(AA389:AA409)</f>
        <v>3694.5454</v>
      </c>
    </row>
    <row r="411" spans="1:32">
      <c r="A411" s="763" t="str">
        <f t="shared" si="115"/>
        <v/>
      </c>
      <c r="C411" s="790" t="s">
        <v>961</v>
      </c>
    </row>
    <row r="412" spans="1:32">
      <c r="A412" s="763">
        <v>353</v>
      </c>
      <c r="C412" s="822" t="s">
        <v>958</v>
      </c>
      <c r="D412" s="769"/>
      <c r="E412" s="823" t="s">
        <v>912</v>
      </c>
      <c r="F412" s="823"/>
      <c r="G412" s="824" t="s">
        <v>962</v>
      </c>
      <c r="H412" s="769"/>
      <c r="I412" s="824" t="s">
        <v>996</v>
      </c>
      <c r="J412" s="769"/>
      <c r="K412" s="825">
        <v>0</v>
      </c>
      <c r="M412" s="809">
        <v>9000</v>
      </c>
      <c r="O412" s="782">
        <f>'J-2'!$G$26*365/12</f>
        <v>9.9888333333333339</v>
      </c>
      <c r="Q412" s="797">
        <f t="shared" ref="Q412:Q417" si="117">K412*O412</f>
        <v>0</v>
      </c>
      <c r="S412" s="784">
        <f>'J-2'!$I$26</f>
        <v>3.0999999999999999E-3</v>
      </c>
      <c r="U412" s="819">
        <f t="shared" ref="U412:U417" si="118">S412*M412</f>
        <v>27.9</v>
      </c>
      <c r="W412" s="797">
        <f t="shared" ref="W412:W417" si="119">Q412+U412</f>
        <v>27.9</v>
      </c>
      <c r="Y412" s="786">
        <v>1.4E-3</v>
      </c>
      <c r="AA412" s="787">
        <f t="shared" ref="AA412:AA417" si="120">Y412*M412</f>
        <v>12.6</v>
      </c>
      <c r="AC412" s="764" t="s">
        <v>912</v>
      </c>
    </row>
    <row r="413" spans="1:32">
      <c r="A413" s="763">
        <f t="shared" si="115"/>
        <v>354</v>
      </c>
      <c r="C413" s="822" t="s">
        <v>991</v>
      </c>
      <c r="D413" s="769"/>
      <c r="E413" s="823" t="s">
        <v>912</v>
      </c>
      <c r="F413" s="823"/>
      <c r="G413" s="824" t="s">
        <v>962</v>
      </c>
      <c r="H413" s="769"/>
      <c r="I413" s="824" t="s">
        <v>998</v>
      </c>
      <c r="J413" s="769"/>
      <c r="K413" s="825">
        <v>0</v>
      </c>
      <c r="M413" s="798">
        <v>199253</v>
      </c>
      <c r="O413" s="782">
        <f>'J-2'!$G$26*365/12</f>
        <v>9.9888333333333339</v>
      </c>
      <c r="Q413" s="797">
        <f t="shared" si="117"/>
        <v>0</v>
      </c>
      <c r="S413" s="784">
        <f>'J-2'!$I$26</f>
        <v>3.0999999999999999E-3</v>
      </c>
      <c r="U413" s="819">
        <f t="shared" si="118"/>
        <v>617.68430000000001</v>
      </c>
      <c r="W413" s="797">
        <f t="shared" si="119"/>
        <v>617.68430000000001</v>
      </c>
      <c r="Y413" s="786">
        <v>1.4E-3</v>
      </c>
      <c r="AA413" s="787">
        <f t="shared" si="120"/>
        <v>278.95420000000001</v>
      </c>
      <c r="AC413" s="764" t="s">
        <v>912</v>
      </c>
    </row>
    <row r="414" spans="1:32">
      <c r="A414" s="763">
        <f t="shared" si="115"/>
        <v>355</v>
      </c>
      <c r="C414" s="822" t="s">
        <v>932</v>
      </c>
      <c r="D414" s="769"/>
      <c r="E414" s="823" t="s">
        <v>912</v>
      </c>
      <c r="F414" s="823"/>
      <c r="G414" s="824" t="s">
        <v>962</v>
      </c>
      <c r="H414" s="769"/>
      <c r="I414" s="824" t="s">
        <v>999</v>
      </c>
      <c r="J414" s="769"/>
      <c r="K414" s="825">
        <v>0</v>
      </c>
      <c r="M414" s="798">
        <v>4500</v>
      </c>
      <c r="O414" s="782">
        <f>'J-2'!$G$26*365/12</f>
        <v>9.9888333333333339</v>
      </c>
      <c r="Q414" s="797">
        <f t="shared" si="117"/>
        <v>0</v>
      </c>
      <c r="S414" s="784">
        <f>'J-2'!$I$26</f>
        <v>3.0999999999999999E-3</v>
      </c>
      <c r="U414" s="819">
        <f t="shared" si="118"/>
        <v>13.95</v>
      </c>
      <c r="W414" s="797">
        <f t="shared" si="119"/>
        <v>13.95</v>
      </c>
      <c r="Y414" s="786">
        <v>1.4E-3</v>
      </c>
      <c r="AA414" s="787">
        <f t="shared" si="120"/>
        <v>6.3</v>
      </c>
      <c r="AC414" s="764" t="s">
        <v>912</v>
      </c>
      <c r="AF414" s="795"/>
    </row>
    <row r="415" spans="1:32">
      <c r="A415" s="763">
        <f t="shared" si="115"/>
        <v>356</v>
      </c>
      <c r="C415" s="822" t="s">
        <v>972</v>
      </c>
      <c r="D415" s="769"/>
      <c r="E415" s="823" t="s">
        <v>912</v>
      </c>
      <c r="F415" s="823"/>
      <c r="G415" s="824" t="s">
        <v>970</v>
      </c>
      <c r="H415" s="769"/>
      <c r="I415" s="824" t="s">
        <v>973</v>
      </c>
      <c r="J415" s="769"/>
      <c r="K415" s="825">
        <v>150</v>
      </c>
      <c r="M415" s="798">
        <v>0</v>
      </c>
      <c r="O415" s="782">
        <f>'J-2'!$G$26*365/12</f>
        <v>9.9888333333333339</v>
      </c>
      <c r="Q415" s="797">
        <f t="shared" si="117"/>
        <v>1498.325</v>
      </c>
      <c r="S415" s="784">
        <f>'J-2'!$I$26</f>
        <v>3.0999999999999999E-3</v>
      </c>
      <c r="U415" s="819">
        <f t="shared" si="118"/>
        <v>0</v>
      </c>
      <c r="W415" s="797">
        <f t="shared" si="119"/>
        <v>1498.325</v>
      </c>
      <c r="Y415" s="786">
        <v>1.4E-3</v>
      </c>
      <c r="AA415" s="787">
        <f t="shared" si="120"/>
        <v>0</v>
      </c>
      <c r="AC415" s="764" t="s">
        <v>912</v>
      </c>
    </row>
    <row r="416" spans="1:32">
      <c r="A416" s="763">
        <f t="shared" si="115"/>
        <v>357</v>
      </c>
      <c r="C416" s="822" t="s">
        <v>974</v>
      </c>
      <c r="D416" s="769"/>
      <c r="E416" s="823" t="s">
        <v>912</v>
      </c>
      <c r="F416" s="823"/>
      <c r="G416" s="824" t="s">
        <v>970</v>
      </c>
      <c r="H416" s="769"/>
      <c r="I416" s="824" t="s">
        <v>975</v>
      </c>
      <c r="J416" s="769"/>
      <c r="K416" s="825">
        <v>20000</v>
      </c>
      <c r="M416" s="798">
        <v>0</v>
      </c>
      <c r="O416" s="782">
        <f>'J-2'!$G$26*365/12</f>
        <v>9.9888333333333339</v>
      </c>
      <c r="Q416" s="797">
        <f t="shared" si="117"/>
        <v>199776.66666666669</v>
      </c>
      <c r="S416" s="784">
        <f>'J-2'!$I$26</f>
        <v>3.0999999999999999E-3</v>
      </c>
      <c r="U416" s="819">
        <f t="shared" si="118"/>
        <v>0</v>
      </c>
      <c r="W416" s="797">
        <f t="shared" si="119"/>
        <v>199776.66666666669</v>
      </c>
      <c r="Y416" s="786">
        <v>1.4E-3</v>
      </c>
      <c r="AA416" s="787">
        <f t="shared" si="120"/>
        <v>0</v>
      </c>
      <c r="AC416" s="764" t="s">
        <v>912</v>
      </c>
    </row>
    <row r="417" spans="1:32">
      <c r="A417" s="763">
        <f t="shared" si="115"/>
        <v>358</v>
      </c>
      <c r="C417" s="822" t="s">
        <v>992</v>
      </c>
      <c r="D417" s="769"/>
      <c r="E417" s="823" t="s">
        <v>912</v>
      </c>
      <c r="F417" s="823"/>
      <c r="G417" s="824" t="s">
        <v>970</v>
      </c>
      <c r="H417" s="769"/>
      <c r="I417" s="824" t="s">
        <v>963</v>
      </c>
      <c r="J417" s="769"/>
      <c r="K417" s="825">
        <v>500</v>
      </c>
      <c r="M417" s="809">
        <v>6000</v>
      </c>
      <c r="O417" s="782">
        <f>'J-2'!$G$26*365/12</f>
        <v>9.9888333333333339</v>
      </c>
      <c r="Q417" s="797">
        <f t="shared" si="117"/>
        <v>4994.416666666667</v>
      </c>
      <c r="S417" s="784">
        <f>'J-2'!$I$26</f>
        <v>3.0999999999999999E-3</v>
      </c>
      <c r="U417" s="819">
        <f t="shared" si="118"/>
        <v>18.599999999999998</v>
      </c>
      <c r="W417" s="797">
        <f t="shared" si="119"/>
        <v>5013.0166666666673</v>
      </c>
      <c r="Y417" s="786">
        <v>1.4E-3</v>
      </c>
      <c r="AA417" s="787">
        <f t="shared" si="120"/>
        <v>8.4</v>
      </c>
      <c r="AC417" s="764" t="s">
        <v>912</v>
      </c>
    </row>
    <row r="418" spans="1:32">
      <c r="A418" s="763">
        <f t="shared" si="115"/>
        <v>359</v>
      </c>
      <c r="C418" s="770" t="s">
        <v>976</v>
      </c>
      <c r="K418" s="791">
        <f>SUM(K412:K417)</f>
        <v>20650</v>
      </c>
      <c r="M418" s="792">
        <f>SUM(M412:M417)</f>
        <v>218753</v>
      </c>
      <c r="Q418" s="793">
        <f>SUM(Q412:Q417)</f>
        <v>206269.40833333335</v>
      </c>
      <c r="U418" s="793">
        <f>SUM(U412:U417)</f>
        <v>678.13430000000005</v>
      </c>
      <c r="W418" s="793">
        <f>SUM(W412:W417)</f>
        <v>206947.54263333336</v>
      </c>
      <c r="AA418" s="793">
        <f>SUM(AA412:AA417)</f>
        <v>306.25420000000003</v>
      </c>
    </row>
    <row r="419" spans="1:32">
      <c r="A419" s="763" t="str">
        <f t="shared" si="115"/>
        <v/>
      </c>
      <c r="C419" s="770" t="s">
        <v>877</v>
      </c>
    </row>
    <row r="420" spans="1:32">
      <c r="A420" s="763">
        <v>360</v>
      </c>
      <c r="C420" s="805" t="s">
        <v>932</v>
      </c>
      <c r="E420" s="764" t="s">
        <v>912</v>
      </c>
      <c r="G420" s="824" t="s">
        <v>977</v>
      </c>
      <c r="I420" s="806" t="s">
        <v>978</v>
      </c>
      <c r="K420" s="767">
        <v>0</v>
      </c>
      <c r="M420" s="798">
        <v>78918</v>
      </c>
      <c r="O420" s="837">
        <v>0</v>
      </c>
      <c r="Q420" s="797">
        <f t="shared" ref="Q420:Q423" si="121">K420*O420</f>
        <v>0</v>
      </c>
      <c r="S420" s="784">
        <f>'J-2'!$K$28</f>
        <v>0.33150000000000002</v>
      </c>
      <c r="U420" s="819">
        <f t="shared" ref="U420:U423" si="122">S420*M420</f>
        <v>26161.317000000003</v>
      </c>
      <c r="W420" s="797">
        <f t="shared" ref="W420:W423" si="123">Q420+U420</f>
        <v>26161.317000000003</v>
      </c>
      <c r="Y420" s="786">
        <v>1.4E-3</v>
      </c>
      <c r="AA420" s="787">
        <f t="shared" ref="AA420:AA423" si="124">Y420*M420</f>
        <v>110.48519999999999</v>
      </c>
      <c r="AC420" s="764" t="s">
        <v>912</v>
      </c>
    </row>
    <row r="421" spans="1:32">
      <c r="A421" s="763">
        <f t="shared" si="115"/>
        <v>361</v>
      </c>
      <c r="C421" s="805" t="s">
        <v>952</v>
      </c>
      <c r="E421" s="764" t="s">
        <v>912</v>
      </c>
      <c r="G421" s="824" t="s">
        <v>977</v>
      </c>
      <c r="I421" s="806" t="s">
        <v>979</v>
      </c>
      <c r="K421" s="767">
        <v>0</v>
      </c>
      <c r="M421" s="809">
        <v>5621</v>
      </c>
      <c r="O421" s="837">
        <v>0</v>
      </c>
      <c r="Q421" s="797">
        <f t="shared" si="121"/>
        <v>0</v>
      </c>
      <c r="S421" s="784">
        <f>'J-2'!$K$28</f>
        <v>0.33150000000000002</v>
      </c>
      <c r="U421" s="819">
        <f t="shared" si="122"/>
        <v>1863.3615000000002</v>
      </c>
      <c r="W421" s="797">
        <f t="shared" si="123"/>
        <v>1863.3615000000002</v>
      </c>
      <c r="Y421" s="786">
        <v>1.4E-3</v>
      </c>
      <c r="AA421" s="787">
        <f t="shared" si="124"/>
        <v>7.8693999999999997</v>
      </c>
      <c r="AC421" s="764" t="s">
        <v>912</v>
      </c>
      <c r="AF421" s="797"/>
    </row>
    <row r="422" spans="1:32">
      <c r="A422" s="763">
        <f t="shared" si="115"/>
        <v>362</v>
      </c>
      <c r="C422" s="805" t="s">
        <v>980</v>
      </c>
      <c r="E422" s="764" t="s">
        <v>912</v>
      </c>
      <c r="G422" s="824" t="s">
        <v>977</v>
      </c>
      <c r="I422" s="806" t="s">
        <v>981</v>
      </c>
      <c r="K422" s="767">
        <v>0</v>
      </c>
      <c r="M422" s="809">
        <v>13317</v>
      </c>
      <c r="O422" s="837">
        <v>0</v>
      </c>
      <c r="Q422" s="797">
        <f t="shared" si="121"/>
        <v>0</v>
      </c>
      <c r="S422" s="784">
        <f>'J-2'!$K$28</f>
        <v>0.33150000000000002</v>
      </c>
      <c r="U422" s="819">
        <f t="shared" si="122"/>
        <v>4414.5855000000001</v>
      </c>
      <c r="W422" s="797">
        <f t="shared" si="123"/>
        <v>4414.5855000000001</v>
      </c>
      <c r="Y422" s="786">
        <v>1.4E-3</v>
      </c>
      <c r="AA422" s="787">
        <f t="shared" si="124"/>
        <v>18.643799999999999</v>
      </c>
      <c r="AC422" s="764" t="s">
        <v>912</v>
      </c>
    </row>
    <row r="423" spans="1:32">
      <c r="A423" s="763">
        <f t="shared" si="115"/>
        <v>363</v>
      </c>
      <c r="C423" s="805" t="s">
        <v>942</v>
      </c>
      <c r="E423" s="764" t="s">
        <v>912</v>
      </c>
      <c r="G423" s="824" t="s">
        <v>977</v>
      </c>
      <c r="I423" s="806" t="s">
        <v>984</v>
      </c>
      <c r="K423" s="767">
        <v>0</v>
      </c>
      <c r="M423" s="809">
        <v>1858</v>
      </c>
      <c r="O423" s="837">
        <v>0</v>
      </c>
      <c r="Q423" s="797">
        <f t="shared" si="121"/>
        <v>0</v>
      </c>
      <c r="S423" s="784">
        <f>'J-2'!$K$28</f>
        <v>0.33150000000000002</v>
      </c>
      <c r="U423" s="819">
        <f t="shared" si="122"/>
        <v>615.92700000000002</v>
      </c>
      <c r="W423" s="797">
        <f t="shared" si="123"/>
        <v>615.92700000000002</v>
      </c>
      <c r="Y423" s="786">
        <v>1.4E-3</v>
      </c>
      <c r="AA423" s="787">
        <f t="shared" si="124"/>
        <v>2.6012</v>
      </c>
      <c r="AC423" s="764" t="s">
        <v>912</v>
      </c>
    </row>
    <row r="424" spans="1:32">
      <c r="A424" s="763">
        <f t="shared" si="115"/>
        <v>364</v>
      </c>
      <c r="C424" s="770" t="s">
        <v>982</v>
      </c>
      <c r="K424" s="791">
        <f>SUM(K420:K423)</f>
        <v>0</v>
      </c>
      <c r="M424" s="792">
        <f>SUM(M420:M423)</f>
        <v>99714</v>
      </c>
      <c r="Q424" s="793">
        <f>SUM(Q420:Q423)</f>
        <v>0</v>
      </c>
      <c r="U424" s="793">
        <f>SUM(U420:U423)</f>
        <v>33055.191000000006</v>
      </c>
      <c r="W424" s="793">
        <f>SUM(W420:W423)</f>
        <v>33055.191000000006</v>
      </c>
      <c r="AA424" s="793">
        <f>SUM(AA420:AA423)</f>
        <v>139.59960000000001</v>
      </c>
    </row>
    <row r="425" spans="1:32">
      <c r="A425" s="763" t="str">
        <f t="shared" si="115"/>
        <v/>
      </c>
    </row>
    <row r="426" spans="1:32">
      <c r="A426" s="763" t="str">
        <f t="shared" si="115"/>
        <v/>
      </c>
      <c r="C426" s="768" t="s">
        <v>1015</v>
      </c>
      <c r="D426" s="768"/>
      <c r="E426" s="802"/>
      <c r="F426" s="802"/>
      <c r="G426" s="802"/>
      <c r="H426" s="768"/>
      <c r="I426" s="802"/>
      <c r="J426" s="768"/>
      <c r="K426" s="803"/>
      <c r="L426" s="768"/>
      <c r="M426" s="804"/>
      <c r="N426" s="768"/>
      <c r="O426" s="768"/>
      <c r="P426" s="768"/>
      <c r="Q426" s="768"/>
      <c r="R426" s="768"/>
      <c r="S426" s="768"/>
      <c r="T426" s="768"/>
      <c r="U426" s="768"/>
      <c r="V426" s="768"/>
      <c r="W426" s="768"/>
      <c r="X426" s="768"/>
      <c r="Y426" s="768"/>
      <c r="Z426" s="768"/>
      <c r="AA426" s="768"/>
      <c r="AB426" s="768"/>
      <c r="AC426" s="768"/>
    </row>
    <row r="427" spans="1:32">
      <c r="A427" s="763" t="str">
        <f t="shared" si="115"/>
        <v/>
      </c>
      <c r="C427" s="770" t="s">
        <v>876</v>
      </c>
    </row>
    <row r="428" spans="1:32">
      <c r="A428" s="763">
        <v>365</v>
      </c>
      <c r="C428" s="805" t="s">
        <v>911</v>
      </c>
      <c r="E428" s="764" t="s">
        <v>912</v>
      </c>
      <c r="G428" s="764" t="s">
        <v>913</v>
      </c>
      <c r="I428" s="806" t="s">
        <v>914</v>
      </c>
      <c r="K428" s="794">
        <v>105750</v>
      </c>
      <c r="M428" s="798">
        <v>2244843</v>
      </c>
      <c r="O428" s="782">
        <f>'J-2'!$G$26*365/12</f>
        <v>9.9888333333333339</v>
      </c>
      <c r="Q428" s="797">
        <f t="shared" ref="Q428:Q448" si="125">K428*O428</f>
        <v>1056319.125</v>
      </c>
      <c r="S428" s="784">
        <f>'J-2'!$I$26</f>
        <v>3.0999999999999999E-3</v>
      </c>
      <c r="U428" s="819">
        <f t="shared" ref="U428:U448" si="126">S428*M428</f>
        <v>6959.0132999999996</v>
      </c>
      <c r="W428" s="797">
        <f t="shared" ref="W428:W448" si="127">Q428+U428</f>
        <v>1063278.1383</v>
      </c>
      <c r="Y428" s="786">
        <v>1.4E-3</v>
      </c>
      <c r="AA428" s="787">
        <f t="shared" ref="AA428:AA448" si="128">Y428*M428</f>
        <v>3142.7802000000001</v>
      </c>
      <c r="AC428" s="764" t="s">
        <v>912</v>
      </c>
    </row>
    <row r="429" spans="1:32">
      <c r="A429" s="763">
        <f t="shared" si="115"/>
        <v>366</v>
      </c>
      <c r="C429" s="805" t="s">
        <v>915</v>
      </c>
      <c r="E429" s="764" t="s">
        <v>912</v>
      </c>
      <c r="G429" s="764" t="s">
        <v>913</v>
      </c>
      <c r="I429" s="806" t="s">
        <v>916</v>
      </c>
      <c r="K429" s="794">
        <v>200</v>
      </c>
      <c r="M429" s="809">
        <v>3410</v>
      </c>
      <c r="O429" s="782">
        <f>'J-2'!$G$26*365/12</f>
        <v>9.9888333333333339</v>
      </c>
      <c r="Q429" s="797">
        <f t="shared" si="125"/>
        <v>1997.7666666666669</v>
      </c>
      <c r="S429" s="784">
        <f>'J-2'!$I$26</f>
        <v>3.0999999999999999E-3</v>
      </c>
      <c r="U429" s="819">
        <f t="shared" si="126"/>
        <v>10.571</v>
      </c>
      <c r="W429" s="797">
        <f t="shared" si="127"/>
        <v>2008.3376666666668</v>
      </c>
      <c r="Y429" s="786">
        <v>1.4E-3</v>
      </c>
      <c r="AA429" s="787">
        <f t="shared" si="128"/>
        <v>4.774</v>
      </c>
      <c r="AC429" s="764" t="s">
        <v>912</v>
      </c>
    </row>
    <row r="430" spans="1:32">
      <c r="A430" s="763">
        <f t="shared" si="115"/>
        <v>367</v>
      </c>
      <c r="C430" s="805" t="s">
        <v>917</v>
      </c>
      <c r="E430" s="764" t="s">
        <v>912</v>
      </c>
      <c r="G430" s="764" t="s">
        <v>913</v>
      </c>
      <c r="I430" s="806" t="s">
        <v>918</v>
      </c>
      <c r="K430" s="794">
        <v>1200</v>
      </c>
      <c r="M430" s="809">
        <v>18600</v>
      </c>
      <c r="O430" s="782">
        <f>'J-2'!$G$26*365/12</f>
        <v>9.9888333333333339</v>
      </c>
      <c r="Q430" s="797">
        <f t="shared" si="125"/>
        <v>11986.6</v>
      </c>
      <c r="S430" s="784">
        <f>'J-2'!$I$26</f>
        <v>3.0999999999999999E-3</v>
      </c>
      <c r="U430" s="819">
        <f t="shared" si="126"/>
        <v>57.66</v>
      </c>
      <c r="W430" s="797">
        <f t="shared" si="127"/>
        <v>12044.26</v>
      </c>
      <c r="Y430" s="786">
        <v>1.4E-3</v>
      </c>
      <c r="AA430" s="787">
        <f t="shared" si="128"/>
        <v>26.04</v>
      </c>
      <c r="AC430" s="764" t="s">
        <v>912</v>
      </c>
    </row>
    <row r="431" spans="1:32">
      <c r="A431" s="763">
        <f t="shared" si="115"/>
        <v>368</v>
      </c>
      <c r="C431" s="805" t="s">
        <v>919</v>
      </c>
      <c r="E431" s="764" t="s">
        <v>912</v>
      </c>
      <c r="G431" s="764" t="s">
        <v>913</v>
      </c>
      <c r="I431" s="806" t="s">
        <v>920</v>
      </c>
      <c r="K431" s="794">
        <v>1550</v>
      </c>
      <c r="M431" s="798">
        <v>0</v>
      </c>
      <c r="O431" s="782">
        <f>'J-2'!$G$26*365/12</f>
        <v>9.9888333333333339</v>
      </c>
      <c r="Q431" s="797">
        <f t="shared" si="125"/>
        <v>15482.691666666668</v>
      </c>
      <c r="S431" s="784">
        <f>'J-2'!$I$26</f>
        <v>3.0999999999999999E-3</v>
      </c>
      <c r="U431" s="819">
        <f t="shared" si="126"/>
        <v>0</v>
      </c>
      <c r="W431" s="797">
        <f t="shared" si="127"/>
        <v>15482.691666666668</v>
      </c>
      <c r="Y431" s="786">
        <v>1.4E-3</v>
      </c>
      <c r="AA431" s="787">
        <f t="shared" si="128"/>
        <v>0</v>
      </c>
      <c r="AC431" s="764" t="s">
        <v>912</v>
      </c>
    </row>
    <row r="432" spans="1:32">
      <c r="A432" s="763">
        <f t="shared" si="115"/>
        <v>369</v>
      </c>
      <c r="C432" s="805" t="s">
        <v>911</v>
      </c>
      <c r="E432" s="764" t="s">
        <v>912</v>
      </c>
      <c r="G432" s="764" t="s">
        <v>913</v>
      </c>
      <c r="I432" s="806" t="s">
        <v>921</v>
      </c>
      <c r="K432" s="794">
        <v>10000</v>
      </c>
      <c r="M432" s="798">
        <v>301000</v>
      </c>
      <c r="O432" s="782">
        <f>'J-2'!$G$26*365/12</f>
        <v>9.9888333333333339</v>
      </c>
      <c r="Q432" s="797">
        <f t="shared" si="125"/>
        <v>99888.333333333343</v>
      </c>
      <c r="S432" s="784">
        <f>'J-2'!$I$26</f>
        <v>3.0999999999999999E-3</v>
      </c>
      <c r="U432" s="819">
        <f t="shared" si="126"/>
        <v>933.1</v>
      </c>
      <c r="W432" s="797">
        <f t="shared" si="127"/>
        <v>100821.43333333335</v>
      </c>
      <c r="Y432" s="786">
        <v>1.4E-3</v>
      </c>
      <c r="AA432" s="787">
        <f t="shared" si="128"/>
        <v>421.4</v>
      </c>
      <c r="AC432" s="764" t="s">
        <v>912</v>
      </c>
    </row>
    <row r="433" spans="1:32">
      <c r="A433" s="763">
        <f t="shared" si="115"/>
        <v>370</v>
      </c>
      <c r="C433" s="805" t="s">
        <v>922</v>
      </c>
      <c r="E433" s="764" t="s">
        <v>912</v>
      </c>
      <c r="G433" s="764" t="s">
        <v>913</v>
      </c>
      <c r="I433" s="806" t="s">
        <v>923</v>
      </c>
      <c r="K433" s="794">
        <v>200</v>
      </c>
      <c r="M433" s="809">
        <v>6200</v>
      </c>
      <c r="O433" s="782">
        <f>'J-2'!$G$26*365/12</f>
        <v>9.9888333333333339</v>
      </c>
      <c r="Q433" s="797">
        <f t="shared" si="125"/>
        <v>1997.7666666666669</v>
      </c>
      <c r="S433" s="784">
        <f>'J-2'!$I$26</f>
        <v>3.0999999999999999E-3</v>
      </c>
      <c r="U433" s="819">
        <f t="shared" si="126"/>
        <v>19.22</v>
      </c>
      <c r="W433" s="797">
        <f t="shared" si="127"/>
        <v>2016.9866666666669</v>
      </c>
      <c r="Y433" s="786">
        <v>1.4E-3</v>
      </c>
      <c r="AA433" s="787">
        <f t="shared" si="128"/>
        <v>8.68</v>
      </c>
      <c r="AC433" s="764" t="s">
        <v>912</v>
      </c>
    </row>
    <row r="434" spans="1:32">
      <c r="A434" s="763">
        <f t="shared" si="115"/>
        <v>371</v>
      </c>
      <c r="C434" s="805" t="s">
        <v>989</v>
      </c>
      <c r="E434" s="764" t="s">
        <v>912</v>
      </c>
      <c r="G434" s="764" t="s">
        <v>913</v>
      </c>
      <c r="I434" s="806" t="s">
        <v>925</v>
      </c>
      <c r="K434" s="794">
        <v>550</v>
      </c>
      <c r="M434" s="809">
        <v>17050</v>
      </c>
      <c r="O434" s="782">
        <f>'J-2'!$G$26*365/12</f>
        <v>9.9888333333333339</v>
      </c>
      <c r="Q434" s="797">
        <f t="shared" si="125"/>
        <v>5493.8583333333336</v>
      </c>
      <c r="S434" s="784">
        <f>'J-2'!$I$26</f>
        <v>3.0999999999999999E-3</v>
      </c>
      <c r="U434" s="819">
        <f t="shared" si="126"/>
        <v>52.854999999999997</v>
      </c>
      <c r="W434" s="797">
        <f t="shared" si="127"/>
        <v>5546.7133333333331</v>
      </c>
      <c r="Y434" s="786">
        <v>1.4E-3</v>
      </c>
      <c r="AA434" s="787">
        <f t="shared" si="128"/>
        <v>23.87</v>
      </c>
      <c r="AC434" s="764" t="s">
        <v>912</v>
      </c>
    </row>
    <row r="435" spans="1:32">
      <c r="A435" s="763">
        <f t="shared" si="115"/>
        <v>372</v>
      </c>
      <c r="C435" s="805" t="s">
        <v>911</v>
      </c>
      <c r="E435" s="764" t="s">
        <v>912</v>
      </c>
      <c r="G435" s="764" t="s">
        <v>913</v>
      </c>
      <c r="I435" s="806" t="s">
        <v>926</v>
      </c>
      <c r="K435" s="794">
        <v>5661</v>
      </c>
      <c r="M435" s="798">
        <v>175491</v>
      </c>
      <c r="O435" s="782">
        <f>'J-2'!$G$26*365/12</f>
        <v>9.9888333333333339</v>
      </c>
      <c r="Q435" s="797">
        <f t="shared" si="125"/>
        <v>56546.785500000005</v>
      </c>
      <c r="S435" s="784">
        <f>'J-2'!$I$26</f>
        <v>3.0999999999999999E-3</v>
      </c>
      <c r="U435" s="819">
        <f t="shared" si="126"/>
        <v>544.02210000000002</v>
      </c>
      <c r="W435" s="797">
        <f t="shared" si="127"/>
        <v>57090.807600000007</v>
      </c>
      <c r="Y435" s="786">
        <v>1.4E-3</v>
      </c>
      <c r="AA435" s="787">
        <f t="shared" si="128"/>
        <v>245.6874</v>
      </c>
      <c r="AC435" s="764" t="s">
        <v>912</v>
      </c>
    </row>
    <row r="436" spans="1:32">
      <c r="A436" s="763">
        <f t="shared" si="115"/>
        <v>373</v>
      </c>
      <c r="C436" s="805" t="s">
        <v>911</v>
      </c>
      <c r="E436" s="764" t="s">
        <v>912</v>
      </c>
      <c r="G436" s="764" t="s">
        <v>913</v>
      </c>
      <c r="I436" s="806" t="s">
        <v>927</v>
      </c>
      <c r="K436" s="794">
        <v>5690</v>
      </c>
      <c r="M436" s="798">
        <v>176390</v>
      </c>
      <c r="O436" s="782">
        <f>'J-2'!$G$26*365/12</f>
        <v>9.9888333333333339</v>
      </c>
      <c r="Q436" s="797">
        <f t="shared" si="125"/>
        <v>56836.46166666667</v>
      </c>
      <c r="S436" s="784">
        <f>'J-2'!$I$26</f>
        <v>3.0999999999999999E-3</v>
      </c>
      <c r="U436" s="819">
        <f t="shared" si="126"/>
        <v>546.80899999999997</v>
      </c>
      <c r="W436" s="797">
        <f t="shared" si="127"/>
        <v>57383.270666666671</v>
      </c>
      <c r="Y436" s="786">
        <v>1.4E-3</v>
      </c>
      <c r="AA436" s="787">
        <f t="shared" si="128"/>
        <v>246.946</v>
      </c>
      <c r="AC436" s="764" t="s">
        <v>912</v>
      </c>
    </row>
    <row r="437" spans="1:32">
      <c r="A437" s="763">
        <f t="shared" si="115"/>
        <v>374</v>
      </c>
      <c r="C437" s="805" t="s">
        <v>928</v>
      </c>
      <c r="E437" s="764" t="s">
        <v>912</v>
      </c>
      <c r="G437" s="764" t="s">
        <v>913</v>
      </c>
      <c r="I437" s="806" t="s">
        <v>929</v>
      </c>
      <c r="K437" s="794">
        <v>8000</v>
      </c>
      <c r="M437" s="798">
        <v>232717</v>
      </c>
      <c r="O437" s="782">
        <f>'J-2'!$G$26*365/12</f>
        <v>9.9888333333333339</v>
      </c>
      <c r="Q437" s="797">
        <f t="shared" si="125"/>
        <v>79910.666666666672</v>
      </c>
      <c r="S437" s="784">
        <f>'J-2'!$I$26</f>
        <v>3.0999999999999999E-3</v>
      </c>
      <c r="U437" s="819">
        <f t="shared" si="126"/>
        <v>721.42269999999996</v>
      </c>
      <c r="W437" s="797">
        <f t="shared" si="127"/>
        <v>80632.089366666667</v>
      </c>
      <c r="Y437" s="786">
        <v>1.4E-3</v>
      </c>
      <c r="AA437" s="787">
        <f t="shared" si="128"/>
        <v>325.80380000000002</v>
      </c>
      <c r="AC437" s="764" t="s">
        <v>912</v>
      </c>
    </row>
    <row r="438" spans="1:32">
      <c r="A438" s="763">
        <f t="shared" si="115"/>
        <v>375</v>
      </c>
      <c r="C438" s="805" t="s">
        <v>928</v>
      </c>
      <c r="E438" s="764" t="s">
        <v>912</v>
      </c>
      <c r="G438" s="764" t="s">
        <v>913</v>
      </c>
      <c r="I438" s="806" t="s">
        <v>930</v>
      </c>
      <c r="K438" s="794">
        <v>16500</v>
      </c>
      <c r="M438" s="809">
        <v>239258</v>
      </c>
      <c r="O438" s="782">
        <f>'J-2'!$G$26*365/12</f>
        <v>9.9888333333333339</v>
      </c>
      <c r="Q438" s="797">
        <f t="shared" si="125"/>
        <v>164815.75</v>
      </c>
      <c r="S438" s="784">
        <f>'J-2'!$I$26</f>
        <v>3.0999999999999999E-3</v>
      </c>
      <c r="U438" s="819">
        <f t="shared" si="126"/>
        <v>741.69979999999998</v>
      </c>
      <c r="W438" s="797">
        <f t="shared" si="127"/>
        <v>165557.4498</v>
      </c>
      <c r="Y438" s="786">
        <v>1.4E-3</v>
      </c>
      <c r="AA438" s="787">
        <f t="shared" si="128"/>
        <v>334.96120000000002</v>
      </c>
      <c r="AC438" s="764" t="s">
        <v>912</v>
      </c>
    </row>
    <row r="439" spans="1:32">
      <c r="A439" s="763">
        <f t="shared" si="115"/>
        <v>376</v>
      </c>
      <c r="C439" s="775" t="s">
        <v>928</v>
      </c>
      <c r="D439" s="776"/>
      <c r="E439" s="777" t="s">
        <v>912</v>
      </c>
      <c r="F439" s="777"/>
      <c r="G439" s="777" t="s">
        <v>913</v>
      </c>
      <c r="H439" s="776"/>
      <c r="I439" s="778" t="s">
        <v>1021</v>
      </c>
      <c r="J439" s="776"/>
      <c r="K439" s="779">
        <v>5951</v>
      </c>
      <c r="L439" s="780"/>
      <c r="M439" s="789">
        <f>K439*365/12*'G-1 '!$M$504</f>
        <v>0</v>
      </c>
      <c r="N439" s="776"/>
      <c r="O439" s="782">
        <f>'J-2'!$G$26*365/12</f>
        <v>9.9888333333333339</v>
      </c>
      <c r="P439" s="776"/>
      <c r="Q439" s="783">
        <f t="shared" si="125"/>
        <v>59443.547166666671</v>
      </c>
      <c r="R439" s="776"/>
      <c r="S439" s="784">
        <f>'J-2'!$I$26</f>
        <v>3.0999999999999999E-3</v>
      </c>
      <c r="T439" s="776"/>
      <c r="U439" s="785">
        <f t="shared" si="126"/>
        <v>0</v>
      </c>
      <c r="V439" s="776"/>
      <c r="W439" s="783">
        <f t="shared" ref="W439" si="129">U439+Q439</f>
        <v>59443.547166666671</v>
      </c>
      <c r="Y439" s="786">
        <v>1.4E-3</v>
      </c>
      <c r="AA439" s="787">
        <f t="shared" si="128"/>
        <v>0</v>
      </c>
      <c r="AC439" s="764" t="s">
        <v>912</v>
      </c>
    </row>
    <row r="440" spans="1:32">
      <c r="A440" s="763">
        <f t="shared" si="115"/>
        <v>377</v>
      </c>
      <c r="C440" s="805" t="s">
        <v>911</v>
      </c>
      <c r="E440" s="764" t="s">
        <v>912</v>
      </c>
      <c r="G440" s="764" t="s">
        <v>913</v>
      </c>
      <c r="I440" s="806" t="s">
        <v>931</v>
      </c>
      <c r="K440" s="794">
        <v>5722</v>
      </c>
      <c r="M440" s="798">
        <v>177382</v>
      </c>
      <c r="O440" s="782">
        <f>'J-2'!$G$26*365/12</f>
        <v>9.9888333333333339</v>
      </c>
      <c r="Q440" s="797">
        <f t="shared" si="125"/>
        <v>57156.104333333336</v>
      </c>
      <c r="S440" s="784">
        <f>'J-2'!$I$26</f>
        <v>3.0999999999999999E-3</v>
      </c>
      <c r="U440" s="819">
        <f t="shared" si="126"/>
        <v>549.88419999999996</v>
      </c>
      <c r="W440" s="797">
        <f t="shared" si="127"/>
        <v>57705.988533333337</v>
      </c>
      <c r="Y440" s="786">
        <v>1.4E-3</v>
      </c>
      <c r="AA440" s="787">
        <f t="shared" si="128"/>
        <v>248.3348</v>
      </c>
      <c r="AC440" s="764" t="s">
        <v>912</v>
      </c>
    </row>
    <row r="441" spans="1:32">
      <c r="A441" s="763">
        <f t="shared" si="115"/>
        <v>378</v>
      </c>
      <c r="C441" s="805" t="s">
        <v>932</v>
      </c>
      <c r="E441" s="764" t="s">
        <v>912</v>
      </c>
      <c r="G441" s="764" t="s">
        <v>913</v>
      </c>
      <c r="I441" s="806" t="s">
        <v>933</v>
      </c>
      <c r="K441" s="794">
        <v>760</v>
      </c>
      <c r="M441" s="798">
        <v>23560</v>
      </c>
      <c r="O441" s="782">
        <f>'J-2'!$G$26*365/12</f>
        <v>9.9888333333333339</v>
      </c>
      <c r="Q441" s="797">
        <f t="shared" si="125"/>
        <v>7591.5133333333333</v>
      </c>
      <c r="S441" s="784">
        <f>'J-2'!$I$26</f>
        <v>3.0999999999999999E-3</v>
      </c>
      <c r="U441" s="819">
        <f t="shared" si="126"/>
        <v>73.036000000000001</v>
      </c>
      <c r="W441" s="797">
        <f t="shared" si="127"/>
        <v>7664.5493333333334</v>
      </c>
      <c r="Y441" s="786">
        <v>1.4E-3</v>
      </c>
      <c r="AA441" s="787">
        <f t="shared" si="128"/>
        <v>32.984000000000002</v>
      </c>
      <c r="AC441" s="764" t="s">
        <v>912</v>
      </c>
    </row>
    <row r="442" spans="1:32">
      <c r="A442" s="763">
        <f t="shared" si="115"/>
        <v>379</v>
      </c>
      <c r="C442" s="805" t="s">
        <v>922</v>
      </c>
      <c r="E442" s="764" t="s">
        <v>912</v>
      </c>
      <c r="G442" s="764" t="s">
        <v>913</v>
      </c>
      <c r="I442" s="806" t="s">
        <v>934</v>
      </c>
      <c r="K442" s="794">
        <v>150</v>
      </c>
      <c r="M442" s="809">
        <v>4650</v>
      </c>
      <c r="O442" s="782">
        <f>'J-2'!$G$26*365/12</f>
        <v>9.9888333333333339</v>
      </c>
      <c r="Q442" s="797">
        <f t="shared" si="125"/>
        <v>1498.325</v>
      </c>
      <c r="S442" s="784">
        <f>'J-2'!$I$26</f>
        <v>3.0999999999999999E-3</v>
      </c>
      <c r="U442" s="819">
        <f t="shared" si="126"/>
        <v>14.414999999999999</v>
      </c>
      <c r="W442" s="797">
        <f t="shared" si="127"/>
        <v>1512.74</v>
      </c>
      <c r="Y442" s="786">
        <v>1.4E-3</v>
      </c>
      <c r="AA442" s="787">
        <f t="shared" si="128"/>
        <v>6.51</v>
      </c>
      <c r="AC442" s="764" t="s">
        <v>912</v>
      </c>
    </row>
    <row r="443" spans="1:32">
      <c r="A443" s="763">
        <f t="shared" si="115"/>
        <v>380</v>
      </c>
      <c r="C443" s="805" t="s">
        <v>922</v>
      </c>
      <c r="E443" s="764" t="s">
        <v>912</v>
      </c>
      <c r="G443" s="764" t="s">
        <v>913</v>
      </c>
      <c r="I443" s="806" t="s">
        <v>935</v>
      </c>
      <c r="K443" s="794">
        <v>250</v>
      </c>
      <c r="M443" s="809">
        <v>7750</v>
      </c>
      <c r="O443" s="782">
        <f>'J-2'!$G$26*365/12</f>
        <v>9.9888333333333339</v>
      </c>
      <c r="Q443" s="797">
        <f t="shared" si="125"/>
        <v>2497.2083333333335</v>
      </c>
      <c r="S443" s="784">
        <f>'J-2'!$I$26</f>
        <v>3.0999999999999999E-3</v>
      </c>
      <c r="U443" s="819">
        <f t="shared" si="126"/>
        <v>24.024999999999999</v>
      </c>
      <c r="W443" s="797">
        <f t="shared" si="127"/>
        <v>2521.2333333333336</v>
      </c>
      <c r="Y443" s="786">
        <v>1.4E-3</v>
      </c>
      <c r="AA443" s="787">
        <f t="shared" si="128"/>
        <v>10.85</v>
      </c>
      <c r="AC443" s="764" t="s">
        <v>912</v>
      </c>
    </row>
    <row r="444" spans="1:32">
      <c r="A444" s="763">
        <f t="shared" si="115"/>
        <v>381</v>
      </c>
      <c r="C444" s="805" t="s">
        <v>922</v>
      </c>
      <c r="E444" s="764" t="s">
        <v>912</v>
      </c>
      <c r="G444" s="764" t="s">
        <v>913</v>
      </c>
      <c r="I444" s="806" t="s">
        <v>936</v>
      </c>
      <c r="K444" s="794">
        <v>400</v>
      </c>
      <c r="M444" s="809">
        <v>12400</v>
      </c>
      <c r="O444" s="782">
        <f>'J-2'!$G$26*365/12</f>
        <v>9.9888333333333339</v>
      </c>
      <c r="Q444" s="797">
        <f t="shared" si="125"/>
        <v>3995.5333333333338</v>
      </c>
      <c r="S444" s="784">
        <f>'J-2'!$I$26</f>
        <v>3.0999999999999999E-3</v>
      </c>
      <c r="U444" s="819">
        <f t="shared" si="126"/>
        <v>38.44</v>
      </c>
      <c r="W444" s="797">
        <f t="shared" si="127"/>
        <v>4033.9733333333338</v>
      </c>
      <c r="Y444" s="786">
        <v>1.4E-3</v>
      </c>
      <c r="AA444" s="787">
        <f t="shared" si="128"/>
        <v>17.36</v>
      </c>
      <c r="AC444" s="764" t="s">
        <v>912</v>
      </c>
    </row>
    <row r="445" spans="1:32">
      <c r="A445" s="763">
        <f t="shared" si="115"/>
        <v>382</v>
      </c>
      <c r="C445" s="805" t="s">
        <v>911</v>
      </c>
      <c r="E445" s="764" t="s">
        <v>912</v>
      </c>
      <c r="G445" s="764" t="s">
        <v>913</v>
      </c>
      <c r="I445" s="806" t="s">
        <v>937</v>
      </c>
      <c r="K445" s="794">
        <v>40000</v>
      </c>
      <c r="M445" s="798">
        <v>1142000</v>
      </c>
      <c r="O445" s="782">
        <f>'J-2'!$G$26*365/12</f>
        <v>9.9888333333333339</v>
      </c>
      <c r="Q445" s="797">
        <f t="shared" si="125"/>
        <v>399553.33333333337</v>
      </c>
      <c r="S445" s="784">
        <f>'J-2'!$I$26</f>
        <v>3.0999999999999999E-3</v>
      </c>
      <c r="U445" s="819">
        <f t="shared" si="126"/>
        <v>3540.2</v>
      </c>
      <c r="W445" s="797">
        <f t="shared" si="127"/>
        <v>403093.53333333338</v>
      </c>
      <c r="Y445" s="786">
        <v>1.4E-3</v>
      </c>
      <c r="AA445" s="787">
        <f t="shared" si="128"/>
        <v>1598.8</v>
      </c>
      <c r="AC445" s="764" t="s">
        <v>912</v>
      </c>
    </row>
    <row r="446" spans="1:32">
      <c r="A446" s="763">
        <f t="shared" si="115"/>
        <v>383</v>
      </c>
      <c r="C446" s="805" t="s">
        <v>990</v>
      </c>
      <c r="E446" s="764" t="s">
        <v>912</v>
      </c>
      <c r="G446" s="764" t="s">
        <v>913</v>
      </c>
      <c r="I446" s="806" t="s">
        <v>939</v>
      </c>
      <c r="K446" s="794">
        <v>800</v>
      </c>
      <c r="M446" s="809">
        <v>19793</v>
      </c>
      <c r="O446" s="782">
        <f>'J-2'!$G$26*365/12</f>
        <v>9.9888333333333339</v>
      </c>
      <c r="Q446" s="797">
        <f t="shared" si="125"/>
        <v>7991.0666666666675</v>
      </c>
      <c r="S446" s="784">
        <f>'J-2'!$I$26</f>
        <v>3.0999999999999999E-3</v>
      </c>
      <c r="U446" s="819">
        <f t="shared" si="126"/>
        <v>61.3583</v>
      </c>
      <c r="W446" s="797">
        <f t="shared" si="127"/>
        <v>8052.4249666666674</v>
      </c>
      <c r="Y446" s="786">
        <v>1.4E-3</v>
      </c>
      <c r="AA446" s="787">
        <f t="shared" si="128"/>
        <v>27.7102</v>
      </c>
      <c r="AC446" s="764" t="s">
        <v>912</v>
      </c>
    </row>
    <row r="447" spans="1:32">
      <c r="A447" s="763">
        <f t="shared" si="115"/>
        <v>384</v>
      </c>
      <c r="C447" s="805" t="s">
        <v>990</v>
      </c>
      <c r="E447" s="764" t="s">
        <v>912</v>
      </c>
      <c r="G447" s="764" t="s">
        <v>913</v>
      </c>
      <c r="I447" s="806" t="s">
        <v>940</v>
      </c>
      <c r="K447" s="794">
        <v>200</v>
      </c>
      <c r="M447" s="798">
        <v>0</v>
      </c>
      <c r="O447" s="782">
        <f>'J-2'!$G$26*365/12</f>
        <v>9.9888333333333339</v>
      </c>
      <c r="Q447" s="797">
        <f t="shared" si="125"/>
        <v>1997.7666666666669</v>
      </c>
      <c r="S447" s="784">
        <f>'J-2'!$I$26</f>
        <v>3.0999999999999999E-3</v>
      </c>
      <c r="U447" s="819">
        <f t="shared" si="126"/>
        <v>0</v>
      </c>
      <c r="W447" s="797">
        <f t="shared" si="127"/>
        <v>1997.7666666666669</v>
      </c>
      <c r="Y447" s="786">
        <v>1.4E-3</v>
      </c>
      <c r="AA447" s="787">
        <f t="shared" si="128"/>
        <v>0</v>
      </c>
      <c r="AC447" s="764" t="s">
        <v>912</v>
      </c>
    </row>
    <row r="448" spans="1:32">
      <c r="A448" s="763">
        <f t="shared" si="115"/>
        <v>385</v>
      </c>
      <c r="C448" s="805" t="s">
        <v>990</v>
      </c>
      <c r="E448" s="764" t="s">
        <v>912</v>
      </c>
      <c r="G448" s="764" t="s">
        <v>913</v>
      </c>
      <c r="I448" s="806" t="s">
        <v>941</v>
      </c>
      <c r="K448" s="794">
        <v>400</v>
      </c>
      <c r="M448" s="798">
        <v>0</v>
      </c>
      <c r="O448" s="782">
        <f>'J-2'!$G$26*365/12</f>
        <v>9.9888333333333339</v>
      </c>
      <c r="Q448" s="797">
        <f t="shared" si="125"/>
        <v>3995.5333333333338</v>
      </c>
      <c r="S448" s="784">
        <f>'J-2'!$I$26</f>
        <v>3.0999999999999999E-3</v>
      </c>
      <c r="U448" s="819">
        <f t="shared" si="126"/>
        <v>0</v>
      </c>
      <c r="W448" s="797">
        <f t="shared" si="127"/>
        <v>3995.5333333333338</v>
      </c>
      <c r="Y448" s="786">
        <v>1.4E-3</v>
      </c>
      <c r="AA448" s="787">
        <f t="shared" si="128"/>
        <v>0</v>
      </c>
      <c r="AC448" s="764" t="s">
        <v>912</v>
      </c>
      <c r="AF448" s="795"/>
    </row>
    <row r="449" spans="1:32">
      <c r="A449" s="763">
        <f t="shared" si="115"/>
        <v>386</v>
      </c>
      <c r="C449" s="790" t="s">
        <v>960</v>
      </c>
      <c r="K449" s="791">
        <f>SUM(K428:K448)</f>
        <v>209934</v>
      </c>
      <c r="M449" s="792">
        <f>SUM(M428:M448)</f>
        <v>4802494</v>
      </c>
      <c r="Q449" s="793">
        <f>SUM(Q428:Q448)</f>
        <v>2096995.7370000002</v>
      </c>
      <c r="U449" s="793">
        <f>SUM(U428:U448)</f>
        <v>14887.731400000001</v>
      </c>
      <c r="W449" s="793">
        <f>SUM(W428:W448)</f>
        <v>2111883.4684000001</v>
      </c>
      <c r="AA449" s="793">
        <f>SUM(AA428:AA448)</f>
        <v>6723.4916000000003</v>
      </c>
    </row>
    <row r="450" spans="1:32">
      <c r="A450" s="763" t="str">
        <f t="shared" si="115"/>
        <v/>
      </c>
      <c r="C450" s="790" t="s">
        <v>961</v>
      </c>
    </row>
    <row r="451" spans="1:32">
      <c r="A451" s="763">
        <v>387</v>
      </c>
      <c r="C451" s="822" t="s">
        <v>958</v>
      </c>
      <c r="D451" s="769"/>
      <c r="E451" s="823" t="s">
        <v>912</v>
      </c>
      <c r="F451" s="823"/>
      <c r="G451" s="823" t="s">
        <v>970</v>
      </c>
      <c r="H451" s="769"/>
      <c r="I451" s="824" t="s">
        <v>996</v>
      </c>
      <c r="J451" s="769"/>
      <c r="K451" s="825">
        <v>0</v>
      </c>
      <c r="M451" s="809">
        <v>9216</v>
      </c>
      <c r="O451" s="782">
        <f>'J-2'!$G$26*365/12</f>
        <v>9.9888333333333339</v>
      </c>
      <c r="Q451" s="797">
        <f t="shared" ref="Q451:Q456" si="130">K451*O451</f>
        <v>0</v>
      </c>
      <c r="S451" s="784">
        <f>'J-2'!$I$26</f>
        <v>3.0999999999999999E-3</v>
      </c>
      <c r="U451" s="819">
        <f t="shared" ref="U451:U456" si="131">S451*M451</f>
        <v>28.569599999999998</v>
      </c>
      <c r="W451" s="797">
        <f t="shared" ref="W451:W456" si="132">Q451+U451</f>
        <v>28.569599999999998</v>
      </c>
      <c r="Y451" s="786">
        <v>1.4E-3</v>
      </c>
      <c r="AA451" s="787">
        <f t="shared" ref="AA451:AA456" si="133">Y451*M451</f>
        <v>12.9024</v>
      </c>
      <c r="AC451" s="764" t="s">
        <v>912</v>
      </c>
    </row>
    <row r="452" spans="1:32">
      <c r="A452" s="763">
        <f t="shared" si="115"/>
        <v>388</v>
      </c>
      <c r="C452" s="822" t="s">
        <v>991</v>
      </c>
      <c r="D452" s="769"/>
      <c r="E452" s="823" t="s">
        <v>912</v>
      </c>
      <c r="F452" s="823"/>
      <c r="G452" s="823" t="s">
        <v>970</v>
      </c>
      <c r="H452" s="769"/>
      <c r="I452" s="824" t="s">
        <v>998</v>
      </c>
      <c r="J452" s="769"/>
      <c r="K452" s="825">
        <v>0</v>
      </c>
      <c r="M452" s="798">
        <v>219814</v>
      </c>
      <c r="O452" s="782">
        <f>'J-2'!$G$26*365/12</f>
        <v>9.9888333333333339</v>
      </c>
      <c r="Q452" s="797">
        <f t="shared" si="130"/>
        <v>0</v>
      </c>
      <c r="S452" s="784">
        <f>'J-2'!$I$26</f>
        <v>3.0999999999999999E-3</v>
      </c>
      <c r="U452" s="819">
        <f t="shared" si="131"/>
        <v>681.42340000000002</v>
      </c>
      <c r="W452" s="797">
        <f t="shared" si="132"/>
        <v>681.42340000000002</v>
      </c>
      <c r="Y452" s="786">
        <v>1.4E-3</v>
      </c>
      <c r="AA452" s="787">
        <f t="shared" si="133"/>
        <v>307.7396</v>
      </c>
      <c r="AC452" s="764" t="s">
        <v>912</v>
      </c>
    </row>
    <row r="453" spans="1:32">
      <c r="A453" s="763">
        <f t="shared" si="115"/>
        <v>389</v>
      </c>
      <c r="C453" s="822" t="s">
        <v>932</v>
      </c>
      <c r="D453" s="769"/>
      <c r="E453" s="823" t="s">
        <v>912</v>
      </c>
      <c r="F453" s="823"/>
      <c r="G453" s="823" t="s">
        <v>970</v>
      </c>
      <c r="H453" s="769"/>
      <c r="I453" s="824" t="s">
        <v>999</v>
      </c>
      <c r="J453" s="769"/>
      <c r="K453" s="825">
        <v>0</v>
      </c>
      <c r="M453" s="809">
        <v>4650</v>
      </c>
      <c r="O453" s="782">
        <f>'J-2'!$G$26*365/12</f>
        <v>9.9888333333333339</v>
      </c>
      <c r="Q453" s="797">
        <f t="shared" si="130"/>
        <v>0</v>
      </c>
      <c r="S453" s="784">
        <f>'J-2'!$I$26</f>
        <v>3.0999999999999999E-3</v>
      </c>
      <c r="U453" s="819">
        <f t="shared" si="131"/>
        <v>14.414999999999999</v>
      </c>
      <c r="W453" s="797">
        <f t="shared" si="132"/>
        <v>14.414999999999999</v>
      </c>
      <c r="Y453" s="786">
        <v>1.4E-3</v>
      </c>
      <c r="AA453" s="787">
        <f t="shared" si="133"/>
        <v>6.51</v>
      </c>
      <c r="AC453" s="764" t="s">
        <v>912</v>
      </c>
    </row>
    <row r="454" spans="1:32">
      <c r="A454" s="763">
        <f t="shared" si="115"/>
        <v>390</v>
      </c>
      <c r="C454" s="822" t="s">
        <v>972</v>
      </c>
      <c r="D454" s="769"/>
      <c r="E454" s="823" t="s">
        <v>912</v>
      </c>
      <c r="F454" s="823"/>
      <c r="G454" s="823" t="s">
        <v>962</v>
      </c>
      <c r="H454" s="769"/>
      <c r="I454" s="824" t="s">
        <v>973</v>
      </c>
      <c r="J454" s="769"/>
      <c r="K454" s="825">
        <v>150</v>
      </c>
      <c r="M454" s="798">
        <v>0</v>
      </c>
      <c r="O454" s="782">
        <f>'J-2'!$G$26*365/12</f>
        <v>9.9888333333333339</v>
      </c>
      <c r="Q454" s="797">
        <f t="shared" si="130"/>
        <v>1498.325</v>
      </c>
      <c r="S454" s="784">
        <f>'J-2'!$I$26</f>
        <v>3.0999999999999999E-3</v>
      </c>
      <c r="U454" s="819">
        <f t="shared" si="131"/>
        <v>0</v>
      </c>
      <c r="W454" s="797">
        <f t="shared" si="132"/>
        <v>1498.325</v>
      </c>
      <c r="Y454" s="786">
        <v>1.4E-3</v>
      </c>
      <c r="AA454" s="787">
        <f t="shared" si="133"/>
        <v>0</v>
      </c>
      <c r="AC454" s="764" t="s">
        <v>912</v>
      </c>
    </row>
    <row r="455" spans="1:32">
      <c r="A455" s="763">
        <f t="shared" si="115"/>
        <v>391</v>
      </c>
      <c r="C455" s="822" t="s">
        <v>974</v>
      </c>
      <c r="D455" s="769"/>
      <c r="E455" s="823" t="s">
        <v>912</v>
      </c>
      <c r="F455" s="823"/>
      <c r="G455" s="823" t="s">
        <v>962</v>
      </c>
      <c r="H455" s="769"/>
      <c r="I455" s="824" t="s">
        <v>975</v>
      </c>
      <c r="J455" s="769"/>
      <c r="K455" s="825">
        <v>20000</v>
      </c>
      <c r="M455" s="798">
        <v>0</v>
      </c>
      <c r="O455" s="782">
        <f>'J-2'!$G$26*365/12</f>
        <v>9.9888333333333339</v>
      </c>
      <c r="Q455" s="797">
        <f t="shared" si="130"/>
        <v>199776.66666666669</v>
      </c>
      <c r="S455" s="784">
        <f>'J-2'!$I$26</f>
        <v>3.0999999999999999E-3</v>
      </c>
      <c r="U455" s="819">
        <f t="shared" si="131"/>
        <v>0</v>
      </c>
      <c r="W455" s="797">
        <f t="shared" si="132"/>
        <v>199776.66666666669</v>
      </c>
      <c r="Y455" s="786">
        <v>1.4E-3</v>
      </c>
      <c r="AA455" s="787">
        <f t="shared" si="133"/>
        <v>0</v>
      </c>
      <c r="AC455" s="764" t="s">
        <v>912</v>
      </c>
    </row>
    <row r="456" spans="1:32">
      <c r="A456" s="763">
        <f t="shared" si="115"/>
        <v>392</v>
      </c>
      <c r="C456" s="822" t="s">
        <v>992</v>
      </c>
      <c r="D456" s="769"/>
      <c r="E456" s="823" t="s">
        <v>912</v>
      </c>
      <c r="F456" s="823"/>
      <c r="G456" s="823" t="s">
        <v>962</v>
      </c>
      <c r="H456" s="769"/>
      <c r="I456" s="824" t="s">
        <v>963</v>
      </c>
      <c r="J456" s="769"/>
      <c r="K456" s="825">
        <v>500</v>
      </c>
      <c r="M456" s="809">
        <v>6200</v>
      </c>
      <c r="O456" s="782">
        <f>'J-2'!$G$26*365/12</f>
        <v>9.9888333333333339</v>
      </c>
      <c r="Q456" s="797">
        <f t="shared" si="130"/>
        <v>4994.416666666667</v>
      </c>
      <c r="S456" s="784">
        <f>'J-2'!$I$26</f>
        <v>3.0999999999999999E-3</v>
      </c>
      <c r="U456" s="819">
        <f t="shared" si="131"/>
        <v>19.22</v>
      </c>
      <c r="W456" s="797">
        <f t="shared" si="132"/>
        <v>5013.6366666666672</v>
      </c>
      <c r="Y456" s="786">
        <v>1.4E-3</v>
      </c>
      <c r="AA456" s="787">
        <f t="shared" si="133"/>
        <v>8.68</v>
      </c>
      <c r="AC456" s="764" t="s">
        <v>912</v>
      </c>
    </row>
    <row r="457" spans="1:32">
      <c r="A457" s="763">
        <f t="shared" si="115"/>
        <v>393</v>
      </c>
      <c r="C457" s="770" t="s">
        <v>976</v>
      </c>
      <c r="K457" s="791">
        <f>SUM(K451:K456)</f>
        <v>20650</v>
      </c>
      <c r="M457" s="792">
        <f>SUM(M451:M456)</f>
        <v>239880</v>
      </c>
      <c r="Q457" s="793">
        <f>SUM(Q451:Q456)</f>
        <v>206269.40833333335</v>
      </c>
      <c r="U457" s="793">
        <f>SUM(U451:U456)</f>
        <v>743.62800000000004</v>
      </c>
      <c r="W457" s="793">
        <f>SUM(W451:W456)</f>
        <v>207013.03633333335</v>
      </c>
      <c r="AA457" s="793">
        <f>SUM(AA451:AA456)</f>
        <v>335.83199999999999</v>
      </c>
    </row>
    <row r="458" spans="1:32">
      <c r="A458" s="763" t="str">
        <f t="shared" si="115"/>
        <v/>
      </c>
      <c r="C458" s="770" t="s">
        <v>877</v>
      </c>
      <c r="AF458" s="797"/>
    </row>
    <row r="459" spans="1:32">
      <c r="A459" s="763">
        <v>394</v>
      </c>
      <c r="C459" s="805" t="s">
        <v>932</v>
      </c>
      <c r="E459" s="764" t="s">
        <v>912</v>
      </c>
      <c r="G459" s="764" t="s">
        <v>977</v>
      </c>
      <c r="I459" s="806" t="s">
        <v>978</v>
      </c>
      <c r="K459" s="767">
        <v>0</v>
      </c>
      <c r="M459" s="798">
        <v>82544</v>
      </c>
      <c r="O459" s="837">
        <v>0</v>
      </c>
      <c r="Q459" s="797">
        <f t="shared" ref="Q459:Q462" si="134">K459*O459</f>
        <v>0</v>
      </c>
      <c r="S459" s="784">
        <f>'J-2'!$K$28</f>
        <v>0.33150000000000002</v>
      </c>
      <c r="U459" s="807">
        <f t="shared" ref="U459:U462" si="135">S459*M459</f>
        <v>27363.336000000003</v>
      </c>
      <c r="W459" s="797">
        <f t="shared" ref="W459:W462" si="136">Q459+U459</f>
        <v>27363.336000000003</v>
      </c>
      <c r="Y459" s="786">
        <v>1.4E-3</v>
      </c>
      <c r="AA459" s="787">
        <f t="shared" ref="AA459:AA462" si="137">Y459*M459</f>
        <v>115.5616</v>
      </c>
      <c r="AC459" s="764" t="s">
        <v>912</v>
      </c>
    </row>
    <row r="460" spans="1:32">
      <c r="A460" s="763">
        <f t="shared" ref="A460:A468" si="138">IF(OR(K460/2&gt;0,M460/2&gt;0),A459+1,"")</f>
        <v>395</v>
      </c>
      <c r="C460" s="805" t="s">
        <v>952</v>
      </c>
      <c r="E460" s="764" t="s">
        <v>912</v>
      </c>
      <c r="G460" s="764" t="s">
        <v>977</v>
      </c>
      <c r="I460" s="806" t="s">
        <v>979</v>
      </c>
      <c r="K460" s="767">
        <v>0</v>
      </c>
      <c r="M460" s="809">
        <v>4555</v>
      </c>
      <c r="O460" s="837">
        <v>0</v>
      </c>
      <c r="Q460" s="797">
        <f t="shared" si="134"/>
        <v>0</v>
      </c>
      <c r="S460" s="784">
        <f>'J-2'!$K$28</f>
        <v>0.33150000000000002</v>
      </c>
      <c r="U460" s="807">
        <f t="shared" si="135"/>
        <v>1509.9825000000001</v>
      </c>
      <c r="W460" s="797">
        <f t="shared" si="136"/>
        <v>1509.9825000000001</v>
      </c>
      <c r="Y460" s="786">
        <v>1.4E-3</v>
      </c>
      <c r="AA460" s="787">
        <f t="shared" si="137"/>
        <v>6.3769999999999998</v>
      </c>
      <c r="AC460" s="764" t="s">
        <v>912</v>
      </c>
    </row>
    <row r="461" spans="1:32">
      <c r="A461" s="763">
        <f t="shared" si="138"/>
        <v>396</v>
      </c>
      <c r="C461" s="805" t="s">
        <v>980</v>
      </c>
      <c r="E461" s="764" t="s">
        <v>912</v>
      </c>
      <c r="G461" s="764" t="s">
        <v>977</v>
      </c>
      <c r="I461" s="806" t="s">
        <v>981</v>
      </c>
      <c r="K461" s="767">
        <v>0</v>
      </c>
      <c r="M461" s="809">
        <v>18406</v>
      </c>
      <c r="O461" s="837">
        <v>0</v>
      </c>
      <c r="Q461" s="797">
        <f t="shared" si="134"/>
        <v>0</v>
      </c>
      <c r="S461" s="784">
        <f>'J-2'!$K$28</f>
        <v>0.33150000000000002</v>
      </c>
      <c r="U461" s="807">
        <f t="shared" si="135"/>
        <v>6101.5889999999999</v>
      </c>
      <c r="W461" s="797">
        <f t="shared" si="136"/>
        <v>6101.5889999999999</v>
      </c>
      <c r="Y461" s="786">
        <v>1.4E-3</v>
      </c>
      <c r="AA461" s="787">
        <f t="shared" si="137"/>
        <v>25.7684</v>
      </c>
      <c r="AC461" s="764" t="s">
        <v>912</v>
      </c>
    </row>
    <row r="462" spans="1:32">
      <c r="A462" s="763">
        <f t="shared" si="138"/>
        <v>397</v>
      </c>
      <c r="C462" s="805" t="s">
        <v>942</v>
      </c>
      <c r="E462" s="764" t="s">
        <v>912</v>
      </c>
      <c r="G462" s="764" t="s">
        <v>977</v>
      </c>
      <c r="I462" s="806" t="s">
        <v>984</v>
      </c>
      <c r="K462" s="767">
        <v>0</v>
      </c>
      <c r="M462" s="809">
        <v>3800</v>
      </c>
      <c r="O462" s="837">
        <v>0</v>
      </c>
      <c r="Q462" s="797">
        <f t="shared" si="134"/>
        <v>0</v>
      </c>
      <c r="S462" s="784">
        <f>'J-2'!$K$28</f>
        <v>0.33150000000000002</v>
      </c>
      <c r="U462" s="807">
        <f t="shared" si="135"/>
        <v>1259.7</v>
      </c>
      <c r="W462" s="797">
        <f t="shared" si="136"/>
        <v>1259.7</v>
      </c>
      <c r="Y462" s="786">
        <v>1.4E-3</v>
      </c>
      <c r="AA462" s="787">
        <f t="shared" si="137"/>
        <v>5.32</v>
      </c>
      <c r="AC462" s="764" t="s">
        <v>912</v>
      </c>
    </row>
    <row r="463" spans="1:32">
      <c r="A463" s="763">
        <f t="shared" si="138"/>
        <v>398</v>
      </c>
      <c r="K463" s="791">
        <f>SUM(K459:K462)</f>
        <v>0</v>
      </c>
      <c r="M463" s="792">
        <f>SUM(M459:M462)</f>
        <v>109305</v>
      </c>
      <c r="Q463" s="793">
        <f>SUM(Q459:Q462)</f>
        <v>0</v>
      </c>
      <c r="U463" s="793">
        <f>SUM(U459:U462)</f>
        <v>36234.607499999998</v>
      </c>
      <c r="W463" s="793">
        <f>SUM(W459:W462)</f>
        <v>36234.607499999998</v>
      </c>
      <c r="AA463" s="793">
        <f>SUM(AA459:AA462)</f>
        <v>153.02699999999999</v>
      </c>
    </row>
    <row r="464" spans="1:32">
      <c r="A464" s="763" t="str">
        <f t="shared" si="138"/>
        <v/>
      </c>
    </row>
    <row r="465" spans="1:29">
      <c r="A465" s="763">
        <v>399</v>
      </c>
      <c r="C465" s="822" t="s">
        <v>1016</v>
      </c>
      <c r="K465" s="767">
        <f>K31+K71+K111+K150+K188+K226+K263+K300+K337+K374+K410+K449</f>
        <v>2519208</v>
      </c>
      <c r="L465" s="767"/>
      <c r="M465" s="767">
        <f>M31+M71+M111+M150+M188+M226+M263+M300+M337+M374+M410+M449</f>
        <v>37569410</v>
      </c>
      <c r="N465" s="767"/>
      <c r="O465" s="767"/>
      <c r="P465" s="767"/>
      <c r="Q465" s="844">
        <f>Q31+Q71+Q111+Q150+Q188+Q226+Q263+Q300+Q337+Q374+Q410+Q449</f>
        <v>25163948.844000001</v>
      </c>
      <c r="R465" s="767"/>
      <c r="S465" s="767"/>
      <c r="T465" s="767"/>
      <c r="U465" s="844">
        <f>U31+U71+U111+U150+U188+U226+U263+U300+U337+U374+U410+U449</f>
        <v>116465.171</v>
      </c>
      <c r="V465" s="767">
        <f>V31+V71+V111+V150+V188+V226+V263+V300+V337+V374+V410+V449</f>
        <v>0</v>
      </c>
      <c r="W465" s="844">
        <f>W31+W71+W111+W150+W188+W226+W263+W300+W337+W374+W410+W449</f>
        <v>25280414.014999997</v>
      </c>
      <c r="X465" s="844"/>
      <c r="Y465" s="844"/>
      <c r="Z465" s="844"/>
      <c r="AA465" s="844">
        <f t="shared" ref="AA465" si="139">AA31+AA71+AA111+AA150+AA188+AA226+AA263+AA300+AA337+AA374+AA410+AA449</f>
        <v>52597.173999999999</v>
      </c>
      <c r="AB465" s="844"/>
      <c r="AC465" s="844"/>
    </row>
    <row r="466" spans="1:29">
      <c r="A466" s="763">
        <f t="shared" si="138"/>
        <v>400</v>
      </c>
      <c r="C466" s="822" t="s">
        <v>1017</v>
      </c>
      <c r="K466" s="767">
        <f>K41+K81+K121+K160+K198+K235+K272+K309+K346+K382+K418+K457</f>
        <v>247800</v>
      </c>
      <c r="L466" s="767"/>
      <c r="M466" s="767">
        <f>M41+M81+M121+M160+M198+M235+M272+M309+M346+M382+M418+M457</f>
        <v>3002777</v>
      </c>
      <c r="N466" s="767"/>
      <c r="O466" s="767"/>
      <c r="P466" s="767"/>
      <c r="Q466" s="844">
        <f>Q41+Q81+Q121+Q160+Q198+Q235+Q272+Q309+Q346+Q382+Q418+Q457</f>
        <v>2475232.9000000004</v>
      </c>
      <c r="R466" s="767"/>
      <c r="S466" s="767"/>
      <c r="T466" s="767"/>
      <c r="U466" s="845">
        <f>U41+U81+U121+U160+U198+U235+U272+U309+U346+U382+U418+U457</f>
        <v>9287.8697000000011</v>
      </c>
      <c r="V466" s="767">
        <f>V41+V81+V121+V160+V198+V235+V272+V309+V346+V382+V418+V457</f>
        <v>0</v>
      </c>
      <c r="W466" s="844">
        <f>W41+W81+W121+W160+W198+W235+W272+W309+W346+W382+W418+W457</f>
        <v>2484541.5087000001</v>
      </c>
      <c r="X466" s="844"/>
      <c r="Y466" s="844"/>
      <c r="Z466" s="844"/>
      <c r="AA466" s="844">
        <f t="shared" ref="AA466" si="140">AA41+AA81+AA121+AA160+AA198+AA235+AA272+AA309+AA346+AA382+AA418+AA457</f>
        <v>3949.3117999999999</v>
      </c>
      <c r="AB466" s="844"/>
      <c r="AC466" s="844"/>
    </row>
    <row r="467" spans="1:29">
      <c r="A467" s="763">
        <f t="shared" si="138"/>
        <v>401</v>
      </c>
      <c r="C467" s="822" t="s">
        <v>1018</v>
      </c>
      <c r="K467" s="767">
        <f>K46+K86+K125+K163+K201+K238+K275+K312+K349+K385+K424+K463</f>
        <v>0</v>
      </c>
      <c r="L467" s="767"/>
      <c r="M467" s="767">
        <f>M46+M86+M125+M163+M201+M238+M275+M312+M349+M385+M424+M463</f>
        <v>648053</v>
      </c>
      <c r="N467" s="767"/>
      <c r="O467" s="767"/>
      <c r="P467" s="767"/>
      <c r="Q467" s="845">
        <f>Q46+Q86+Q125+Q163+Q201+Q238+Q275+Q312+Q349+Q385+Q424+Q463</f>
        <v>0</v>
      </c>
      <c r="R467" s="767"/>
      <c r="S467" s="767"/>
      <c r="T467" s="767"/>
      <c r="U467" s="844">
        <f>U46+U86+U125+U163+U201+U238+U275+U312+U349+U385+U424+U463</f>
        <v>214829.56949999998</v>
      </c>
      <c r="V467" s="767">
        <f>V46+V86+V125+V163+V201+V238+V275+V312+V349+V385+V424+V463</f>
        <v>0</v>
      </c>
      <c r="W467" s="844">
        <f>W46+W86+W125+W163+W201+W238+W275+W312+W349+W385+W424+W463</f>
        <v>214829.90099999995</v>
      </c>
      <c r="X467" s="844"/>
      <c r="Y467" s="844"/>
      <c r="Z467" s="844"/>
      <c r="AA467" s="844">
        <f t="shared" ref="AA467" si="141">AA46+AA86+AA125+AA163+AA201+AA238+AA275+AA312+AA349+AA385+AA424+AA463</f>
        <v>907.27420000000006</v>
      </c>
      <c r="AB467" s="844"/>
      <c r="AC467" s="844"/>
    </row>
    <row r="468" spans="1:29" ht="15.75" thickBot="1">
      <c r="A468" s="763">
        <f t="shared" si="138"/>
        <v>402</v>
      </c>
      <c r="C468" s="846" t="s">
        <v>1019</v>
      </c>
      <c r="D468" s="846"/>
      <c r="E468" s="846"/>
      <c r="F468" s="846"/>
      <c r="G468" s="846"/>
      <c r="H468" s="846"/>
      <c r="I468" s="846"/>
      <c r="J468" s="846"/>
      <c r="K468" s="847">
        <f>SUM(K465:K467)</f>
        <v>2767008</v>
      </c>
      <c r="L468" s="846"/>
      <c r="M468" s="847">
        <f>SUM(M465:M467)</f>
        <v>41220240</v>
      </c>
      <c r="N468" s="846"/>
      <c r="O468" s="846"/>
      <c r="P468" s="846"/>
      <c r="Q468" s="848">
        <f>SUM(Q465:Q467)</f>
        <v>27639181.744000003</v>
      </c>
      <c r="R468" s="846"/>
      <c r="S468" s="846"/>
      <c r="T468" s="846"/>
      <c r="U468" s="848">
        <f>SUM(U465:U467)</f>
        <v>340582.6102</v>
      </c>
      <c r="V468" s="846"/>
      <c r="W468" s="848">
        <f>SUM(W465:W467)</f>
        <v>27979785.424699999</v>
      </c>
      <c r="X468" s="848"/>
      <c r="Y468" s="848"/>
      <c r="Z468" s="848"/>
      <c r="AA468" s="848">
        <f t="shared" ref="AA468" si="142">SUM(AA465:AA467)</f>
        <v>57453.760000000002</v>
      </c>
      <c r="AB468" s="848"/>
      <c r="AC468" s="848"/>
    </row>
    <row r="469" spans="1:29" ht="15.75" thickTop="1">
      <c r="M469" s="849"/>
    </row>
    <row r="470" spans="1:29">
      <c r="M470" s="850"/>
    </row>
    <row r="471" spans="1:29">
      <c r="W471" s="797"/>
    </row>
    <row r="474" spans="1:29">
      <c r="U474" s="797"/>
    </row>
    <row r="475" spans="1:29">
      <c r="K475" s="851"/>
    </row>
  </sheetData>
  <autoFilter ref="A5:AJ468"/>
  <mergeCells count="3">
    <mergeCell ref="A1:AC1"/>
    <mergeCell ref="A2:AC2"/>
    <mergeCell ref="A3:AC3"/>
  </mergeCells>
  <pageMargins left="0.7" right="0.7" top="0.75" bottom="0.75" header="0.3" footer="0.3"/>
  <pageSetup scale="44" fitToHeight="0" orientation="landscape" useFirstPageNumber="1" r:id="rId1"/>
  <headerFooter>
    <oddHeader>&amp;LTuscarora Gas Transmission Company                            
Adjustment Period Billing Determinants                            
For the Twelve Months Ended December 31, 2015&amp;RDocket No. RP16-299-000
Schedule G-2
&amp;P of 7</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3"/>
    <pageSetUpPr fitToPage="1"/>
  </sheetPr>
  <dimension ref="A1:F28"/>
  <sheetViews>
    <sheetView tabSelected="1" workbookViewId="0">
      <selection activeCell="A4" sqref="A4:D4"/>
    </sheetView>
  </sheetViews>
  <sheetFormatPr defaultRowHeight="12.75"/>
  <cols>
    <col min="1" max="1" width="4.42578125" bestFit="1" customWidth="1"/>
    <col min="2" max="2" width="49.42578125" bestFit="1" customWidth="1"/>
    <col min="3" max="3" width="11.85546875" style="2" customWidth="1"/>
    <col min="4" max="4" width="15.7109375" customWidth="1"/>
  </cols>
  <sheetData>
    <row r="1" spans="1:4">
      <c r="D1" t="str">
        <f>'Title Input and Macros'!B7</f>
        <v>Docket No. RP16-299-000</v>
      </c>
    </row>
    <row r="2" spans="1:4">
      <c r="D2" t="s">
        <v>359</v>
      </c>
    </row>
    <row r="3" spans="1:4">
      <c r="D3" t="s">
        <v>67</v>
      </c>
    </row>
    <row r="4" spans="1:4">
      <c r="A4" s="927" t="str">
        <f>'Title Input and Macros'!$B$6</f>
        <v>Tuscarora Gas Transmission Company</v>
      </c>
      <c r="B4" s="927"/>
      <c r="C4" s="927"/>
      <c r="D4" s="927"/>
    </row>
    <row r="5" spans="1:4">
      <c r="A5" s="927" t="s">
        <v>195</v>
      </c>
      <c r="B5" s="927"/>
      <c r="C5" s="927"/>
      <c r="D5" s="927"/>
    </row>
    <row r="6" spans="1:4">
      <c r="A6" s="929" t="str">
        <f>'Title Input and Macros'!B9</f>
        <v>For the Twelve Months Ended December 31, 2015, As Adjusted</v>
      </c>
      <c r="B6" s="929"/>
      <c r="C6" s="929"/>
      <c r="D6" s="929"/>
    </row>
    <row r="7" spans="1:4">
      <c r="A7" s="43"/>
      <c r="B7" s="43"/>
      <c r="C7" s="43"/>
      <c r="D7" s="43"/>
    </row>
    <row r="9" spans="1:4">
      <c r="C9" s="2" t="s">
        <v>174</v>
      </c>
      <c r="D9" s="604" t="s">
        <v>356</v>
      </c>
    </row>
    <row r="10" spans="1:4">
      <c r="A10" t="s">
        <v>352</v>
      </c>
      <c r="C10" s="2" t="s">
        <v>395</v>
      </c>
      <c r="D10" s="604" t="s">
        <v>43</v>
      </c>
    </row>
    <row r="11" spans="1:4">
      <c r="A11" s="1" t="s">
        <v>353</v>
      </c>
      <c r="B11" s="1" t="s">
        <v>354</v>
      </c>
      <c r="C11" s="3" t="s">
        <v>355</v>
      </c>
      <c r="D11" s="3" t="s">
        <v>175</v>
      </c>
    </row>
    <row r="12" spans="1:4">
      <c r="B12" s="2" t="s">
        <v>361</v>
      </c>
      <c r="C12" s="2" t="s">
        <v>362</v>
      </c>
      <c r="D12" s="2" t="s">
        <v>366</v>
      </c>
    </row>
    <row r="13" spans="1:4">
      <c r="B13" s="2"/>
      <c r="D13" s="2" t="s">
        <v>365</v>
      </c>
    </row>
    <row r="14" spans="1:4">
      <c r="A14">
        <v>1</v>
      </c>
      <c r="B14" s="4" t="s">
        <v>82</v>
      </c>
      <c r="C14" s="605" t="s">
        <v>369</v>
      </c>
      <c r="D14" s="70">
        <f>'H-1'!R66</f>
        <v>8229152.1264389977</v>
      </c>
    </row>
    <row r="15" spans="1:4">
      <c r="A15">
        <f t="shared" ref="A15:A20" si="0">+A14+1</f>
        <v>2</v>
      </c>
      <c r="B15" t="s">
        <v>84</v>
      </c>
      <c r="C15" s="2" t="s">
        <v>370</v>
      </c>
      <c r="D15" s="240">
        <f>'H-2 P2'!L53</f>
        <v>5727661.4714130005</v>
      </c>
    </row>
    <row r="16" spans="1:4" hidden="1">
      <c r="A16">
        <f t="shared" si="0"/>
        <v>3</v>
      </c>
      <c r="B16" t="s">
        <v>347</v>
      </c>
      <c r="C16" s="605" t="s">
        <v>348</v>
      </c>
      <c r="D16" s="70">
        <v>0</v>
      </c>
    </row>
    <row r="17" spans="1:6">
      <c r="A17">
        <v>3</v>
      </c>
      <c r="B17" t="s">
        <v>83</v>
      </c>
      <c r="C17" s="2" t="s">
        <v>374</v>
      </c>
      <c r="D17" s="240">
        <f>B!D36</f>
        <v>8232413.5835289722</v>
      </c>
    </row>
    <row r="18" spans="1:6">
      <c r="A18">
        <f t="shared" si="0"/>
        <v>4</v>
      </c>
      <c r="B18" t="s">
        <v>72</v>
      </c>
      <c r="C18" s="2" t="s">
        <v>375</v>
      </c>
      <c r="D18" s="240">
        <f>'H-3'!C25</f>
        <v>4610026.5621045781</v>
      </c>
    </row>
    <row r="19" spans="1:6">
      <c r="A19">
        <f t="shared" si="0"/>
        <v>5</v>
      </c>
      <c r="B19" t="s">
        <v>454</v>
      </c>
      <c r="C19" s="2" t="s">
        <v>371</v>
      </c>
      <c r="D19" s="70">
        <f>'H-4 1of3'!E22</f>
        <v>1179090</v>
      </c>
    </row>
    <row r="20" spans="1:6" hidden="1">
      <c r="A20">
        <f t="shared" si="0"/>
        <v>6</v>
      </c>
      <c r="B20" t="s">
        <v>159</v>
      </c>
      <c r="C20" s="2">
        <v>0</v>
      </c>
      <c r="D20" s="240">
        <v>0</v>
      </c>
      <c r="E20" s="72"/>
      <c r="F20" s="72"/>
    </row>
    <row r="21" spans="1:6" ht="13.5" thickBot="1">
      <c r="A21">
        <v>6</v>
      </c>
      <c r="B21" s="42" t="s">
        <v>368</v>
      </c>
      <c r="D21" s="137">
        <f>SUM(D14:D20)</f>
        <v>27978343.743485551</v>
      </c>
    </row>
    <row r="22" spans="1:6" ht="13.5" thickTop="1">
      <c r="B22" s="42"/>
      <c r="C22" s="871"/>
      <c r="D22" s="133"/>
    </row>
    <row r="23" spans="1:6">
      <c r="D23" s="5"/>
    </row>
    <row r="24" spans="1:6">
      <c r="B24" s="42" t="s">
        <v>177</v>
      </c>
      <c r="D24" s="5"/>
    </row>
    <row r="25" spans="1:6">
      <c r="B25" s="42" t="s">
        <v>625</v>
      </c>
      <c r="D25" s="5"/>
    </row>
    <row r="26" spans="1:6">
      <c r="D26" s="5"/>
    </row>
    <row r="27" spans="1:6">
      <c r="D27" s="5"/>
    </row>
    <row r="28" spans="1:6">
      <c r="D28" s="68"/>
    </row>
  </sheetData>
  <mergeCells count="3">
    <mergeCell ref="A5:D5"/>
    <mergeCell ref="A6:D6"/>
    <mergeCell ref="A4:D4"/>
  </mergeCells>
  <phoneticPr fontId="5" type="noConversion"/>
  <pageMargins left="0.75" right="0.75" top="1" bottom="1" header="0.5" footer="0.5"/>
  <pageSetup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Q7"/>
  <sheetViews>
    <sheetView view="pageBreakPreview" zoomScale="60" zoomScaleNormal="100" workbookViewId="0">
      <selection sqref="A1:XFD5"/>
    </sheetView>
  </sheetViews>
  <sheetFormatPr defaultRowHeight="12.75"/>
  <sheetData>
    <row r="1" spans="1:17" ht="15">
      <c r="A1" s="657"/>
      <c r="B1" s="657"/>
      <c r="C1" s="657"/>
      <c r="D1" s="657"/>
      <c r="E1" s="657"/>
      <c r="F1" s="657"/>
      <c r="G1" s="657"/>
      <c r="H1" s="657"/>
      <c r="I1" s="657"/>
      <c r="J1" s="657"/>
      <c r="K1" s="657"/>
      <c r="L1" s="657"/>
      <c r="M1" s="657"/>
      <c r="N1" s="657"/>
      <c r="O1" s="658" t="s">
        <v>756</v>
      </c>
      <c r="P1" s="657"/>
      <c r="Q1" s="657"/>
    </row>
    <row r="2" spans="1:17" ht="15">
      <c r="A2" s="657"/>
      <c r="B2" s="657"/>
      <c r="C2" s="657"/>
      <c r="D2" s="657"/>
      <c r="E2" s="657"/>
      <c r="F2" s="657"/>
      <c r="G2" s="657"/>
      <c r="H2" s="657"/>
      <c r="I2" s="657"/>
      <c r="J2" s="657"/>
      <c r="K2" s="657"/>
      <c r="L2" s="657"/>
      <c r="M2" s="657"/>
      <c r="N2" s="657"/>
      <c r="O2" s="658" t="s">
        <v>1058</v>
      </c>
      <c r="P2" s="657"/>
      <c r="Q2" s="657"/>
    </row>
    <row r="3" spans="1:17" ht="15">
      <c r="A3" s="942" t="s">
        <v>658</v>
      </c>
      <c r="B3" s="942"/>
      <c r="C3" s="942"/>
      <c r="D3" s="942"/>
      <c r="E3" s="942"/>
      <c r="F3" s="942"/>
      <c r="G3" s="942"/>
      <c r="H3" s="942"/>
      <c r="I3" s="942"/>
      <c r="J3" s="942"/>
      <c r="K3" s="942"/>
      <c r="L3" s="942"/>
      <c r="M3" s="942"/>
      <c r="N3" s="942"/>
      <c r="O3" s="942"/>
      <c r="P3" s="942"/>
      <c r="Q3" s="942"/>
    </row>
    <row r="4" spans="1:17" ht="15">
      <c r="A4" s="942" t="s">
        <v>1059</v>
      </c>
      <c r="B4" s="942"/>
      <c r="C4" s="942"/>
      <c r="D4" s="942"/>
      <c r="E4" s="942"/>
      <c r="F4" s="942"/>
      <c r="G4" s="942"/>
      <c r="H4" s="942"/>
      <c r="I4" s="942"/>
      <c r="J4" s="942"/>
      <c r="K4" s="942"/>
      <c r="L4" s="942"/>
      <c r="M4" s="942"/>
      <c r="N4" s="942"/>
      <c r="O4" s="942"/>
      <c r="P4" s="942"/>
      <c r="Q4" s="942"/>
    </row>
    <row r="5" spans="1:17" ht="15">
      <c r="A5" s="942" t="s">
        <v>765</v>
      </c>
      <c r="B5" s="942"/>
      <c r="C5" s="942"/>
      <c r="D5" s="942"/>
      <c r="E5" s="942"/>
      <c r="F5" s="942"/>
      <c r="G5" s="942"/>
      <c r="H5" s="942"/>
      <c r="I5" s="942"/>
      <c r="J5" s="942"/>
      <c r="K5" s="942"/>
      <c r="L5" s="942"/>
      <c r="M5" s="942"/>
      <c r="N5" s="942"/>
      <c r="O5" s="942"/>
      <c r="P5" s="942"/>
      <c r="Q5" s="942"/>
    </row>
    <row r="7" spans="1:17">
      <c r="A7" s="9"/>
      <c r="B7" s="9"/>
      <c r="C7" s="9"/>
      <c r="D7" s="9"/>
      <c r="E7" s="9"/>
      <c r="F7" s="9"/>
      <c r="G7" s="927" t="s">
        <v>1055</v>
      </c>
      <c r="H7" s="927"/>
      <c r="I7" s="927"/>
      <c r="J7" s="927"/>
      <c r="K7" s="927"/>
      <c r="L7" s="9"/>
      <c r="M7" s="9"/>
      <c r="N7" s="9"/>
      <c r="O7" s="9"/>
    </row>
  </sheetData>
  <mergeCells count="4">
    <mergeCell ref="A3:Q3"/>
    <mergeCell ref="A4:Q4"/>
    <mergeCell ref="A5:Q5"/>
    <mergeCell ref="G7:K7"/>
  </mergeCells>
  <pageMargins left="0.7" right="0.7" top="0.75" bottom="0.75" header="0.3" footer="0.3"/>
  <pageSetup scale="8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Q7"/>
  <sheetViews>
    <sheetView view="pageBreakPreview" zoomScale="60" zoomScaleNormal="100" workbookViewId="0">
      <selection sqref="A1:XFD5"/>
    </sheetView>
  </sheetViews>
  <sheetFormatPr defaultRowHeight="12.75"/>
  <sheetData>
    <row r="1" spans="1:17" s="657" customFormat="1" ht="15">
      <c r="O1" s="658" t="s">
        <v>756</v>
      </c>
    </row>
    <row r="2" spans="1:17" s="657" customFormat="1" ht="15">
      <c r="O2" s="658" t="s">
        <v>1060</v>
      </c>
    </row>
    <row r="3" spans="1:17" s="657" customFormat="1" ht="15">
      <c r="A3" s="942" t="s">
        <v>658</v>
      </c>
      <c r="B3" s="942"/>
      <c r="C3" s="942"/>
      <c r="D3" s="942"/>
      <c r="E3" s="942"/>
      <c r="F3" s="942"/>
      <c r="G3" s="942"/>
      <c r="H3" s="942"/>
      <c r="I3" s="942"/>
      <c r="J3" s="942"/>
      <c r="K3" s="942"/>
      <c r="L3" s="942"/>
      <c r="M3" s="942"/>
      <c r="N3" s="942"/>
      <c r="O3" s="942"/>
      <c r="P3" s="942"/>
      <c r="Q3" s="942"/>
    </row>
    <row r="4" spans="1:17" s="657" customFormat="1" ht="15">
      <c r="A4" s="942" t="s">
        <v>1061</v>
      </c>
      <c r="B4" s="942"/>
      <c r="C4" s="942"/>
      <c r="D4" s="942"/>
      <c r="E4" s="942"/>
      <c r="F4" s="942"/>
      <c r="G4" s="942"/>
      <c r="H4" s="942"/>
      <c r="I4" s="942"/>
      <c r="J4" s="942"/>
      <c r="K4" s="942"/>
      <c r="L4" s="942"/>
      <c r="M4" s="942"/>
      <c r="N4" s="942"/>
      <c r="O4" s="942"/>
      <c r="P4" s="942"/>
      <c r="Q4" s="942"/>
    </row>
    <row r="5" spans="1:17" s="657" customFormat="1" ht="15">
      <c r="A5" s="942" t="s">
        <v>765</v>
      </c>
      <c r="B5" s="942"/>
      <c r="C5" s="942"/>
      <c r="D5" s="942"/>
      <c r="E5" s="942"/>
      <c r="F5" s="942"/>
      <c r="G5" s="942"/>
      <c r="H5" s="942"/>
      <c r="I5" s="942"/>
      <c r="J5" s="942"/>
      <c r="K5" s="942"/>
      <c r="L5" s="942"/>
      <c r="M5" s="942"/>
      <c r="N5" s="942"/>
      <c r="O5" s="942"/>
      <c r="P5" s="942"/>
      <c r="Q5" s="942"/>
    </row>
    <row r="7" spans="1:17">
      <c r="A7" s="9"/>
      <c r="B7" s="9"/>
      <c r="C7" s="9"/>
      <c r="D7" s="9"/>
      <c r="E7" s="9"/>
      <c r="F7" s="9"/>
      <c r="G7" s="927" t="s">
        <v>1055</v>
      </c>
      <c r="H7" s="927"/>
      <c r="I7" s="927"/>
      <c r="J7" s="927"/>
      <c r="K7" s="927"/>
      <c r="L7" s="9"/>
      <c r="M7" s="9"/>
      <c r="N7" s="9"/>
      <c r="O7" s="9"/>
    </row>
  </sheetData>
  <mergeCells count="4">
    <mergeCell ref="A3:Q3"/>
    <mergeCell ref="A4:Q4"/>
    <mergeCell ref="A5:Q5"/>
    <mergeCell ref="G7:K7"/>
  </mergeCells>
  <pageMargins left="0.7" right="0.7" top="0.75" bottom="0.75" header="0.3" footer="0.3"/>
  <pageSetup scale="80" orientation="landscape"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indexed="17"/>
    <pageSetUpPr fitToPage="1"/>
  </sheetPr>
  <dimension ref="A1:S17"/>
  <sheetViews>
    <sheetView topLeftCell="B1" workbookViewId="0">
      <selection activeCell="B3" sqref="B3:R3"/>
    </sheetView>
  </sheetViews>
  <sheetFormatPr defaultRowHeight="12.75"/>
  <cols>
    <col min="2" max="2" width="61.140625" customWidth="1"/>
    <col min="4" max="4" width="10.85546875" bestFit="1" customWidth="1"/>
    <col min="5" max="8" width="8.28515625" bestFit="1" customWidth="1"/>
    <col min="9" max="9" width="10" bestFit="1" customWidth="1"/>
    <col min="10" max="10" width="8.28515625" bestFit="1" customWidth="1"/>
    <col min="12" max="12" width="9.42578125" bestFit="1" customWidth="1"/>
    <col min="13" max="13" width="12.5703125" bestFit="1" customWidth="1"/>
    <col min="14" max="15" width="8.28515625" bestFit="1" customWidth="1"/>
    <col min="16" max="16" width="9.7109375" bestFit="1" customWidth="1"/>
    <col min="17" max="17" width="11.42578125" bestFit="1" customWidth="1"/>
    <col min="18" max="18" width="9.28515625" bestFit="1" customWidth="1"/>
  </cols>
  <sheetData>
    <row r="1" spans="1:19">
      <c r="P1" t="str">
        <f>A!D1</f>
        <v>Docket No. RP16-299-000</v>
      </c>
    </row>
    <row r="2" spans="1:19">
      <c r="G2" s="2"/>
      <c r="P2" t="s">
        <v>592</v>
      </c>
    </row>
    <row r="3" spans="1:19">
      <c r="B3" s="929" t="str">
        <f>'Title Input and Macros'!B6</f>
        <v>Tuscarora Gas Transmission Company</v>
      </c>
      <c r="C3" s="929"/>
      <c r="D3" s="929"/>
      <c r="E3" s="929"/>
      <c r="F3" s="929"/>
      <c r="G3" s="929"/>
      <c r="H3" s="929"/>
      <c r="I3" s="929"/>
      <c r="J3" s="929"/>
      <c r="K3" s="929"/>
      <c r="L3" s="929"/>
      <c r="M3" s="929"/>
      <c r="N3" s="929"/>
      <c r="O3" s="929"/>
      <c r="P3" s="929"/>
      <c r="Q3" s="929"/>
      <c r="R3" s="929"/>
    </row>
    <row r="4" spans="1:19" s="2" customFormat="1">
      <c r="A4" s="927" t="s">
        <v>180</v>
      </c>
      <c r="B4" s="927"/>
      <c r="C4" s="927"/>
      <c r="D4" s="927"/>
      <c r="E4" s="927"/>
      <c r="F4" s="927"/>
      <c r="G4" s="927"/>
      <c r="H4" s="927"/>
      <c r="I4" s="927"/>
      <c r="J4" s="927"/>
      <c r="K4" s="927"/>
      <c r="L4" s="927"/>
      <c r="M4" s="927"/>
      <c r="N4" s="927"/>
      <c r="O4" s="927"/>
      <c r="P4" s="927"/>
      <c r="Q4" s="927"/>
      <c r="R4" s="927"/>
    </row>
    <row r="5" spans="1:19" s="2" customFormat="1"/>
    <row r="6" spans="1:19" s="2" customFormat="1" hidden="1"/>
    <row r="7" spans="1:19" hidden="1">
      <c r="A7" s="2" t="s">
        <v>352</v>
      </c>
      <c r="B7" s="2"/>
      <c r="C7" s="14" t="s">
        <v>394</v>
      </c>
      <c r="D7" s="2"/>
      <c r="E7" s="2"/>
      <c r="F7" s="2"/>
      <c r="G7" s="2"/>
      <c r="H7" s="2"/>
      <c r="I7" s="2"/>
      <c r="J7" s="2"/>
      <c r="K7" s="2"/>
      <c r="L7" s="2"/>
      <c r="M7" s="2"/>
      <c r="N7" s="2"/>
      <c r="O7" s="2"/>
      <c r="P7" s="2"/>
      <c r="Q7" s="2"/>
      <c r="R7" s="2" t="s">
        <v>326</v>
      </c>
    </row>
    <row r="8" spans="1:19" hidden="1">
      <c r="A8" s="3" t="s">
        <v>353</v>
      </c>
      <c r="B8" s="3" t="s">
        <v>354</v>
      </c>
      <c r="C8" s="33" t="s">
        <v>353</v>
      </c>
      <c r="D8" s="3" t="str">
        <f>'Title Input and Macros'!$B16</f>
        <v>January</v>
      </c>
      <c r="E8" s="3" t="str">
        <f>'Title Input and Macros'!$B17</f>
        <v>February</v>
      </c>
      <c r="F8" s="3" t="str">
        <f>'Title Input and Macros'!$B18</f>
        <v>March</v>
      </c>
      <c r="G8" s="3" t="str">
        <f>'Title Input and Macros'!$B19</f>
        <v>April</v>
      </c>
      <c r="H8" s="3" t="str">
        <f>'Title Input and Macros'!$B20</f>
        <v>May</v>
      </c>
      <c r="I8" s="3" t="str">
        <f>'Title Input and Macros'!$B21</f>
        <v>June</v>
      </c>
      <c r="J8" s="3" t="str">
        <f>'Title Input and Macros'!$B22</f>
        <v>July</v>
      </c>
      <c r="K8" s="3" t="str">
        <f>'Title Input and Macros'!$B23</f>
        <v>August</v>
      </c>
      <c r="L8" s="3" t="str">
        <f>'Title Input and Macros'!$B24</f>
        <v>September</v>
      </c>
      <c r="M8" s="3" t="str">
        <f>'Title Input and Macros'!$B25</f>
        <v>October</v>
      </c>
      <c r="N8" s="3" t="str">
        <f>'Title Input and Macros'!$B26</f>
        <v>November</v>
      </c>
      <c r="O8" s="3" t="str">
        <f>'Title Input and Macros'!$B27</f>
        <v>December</v>
      </c>
      <c r="P8" s="3" t="s">
        <v>38</v>
      </c>
      <c r="Q8" s="3" t="s">
        <v>401</v>
      </c>
      <c r="R8" s="3" t="s">
        <v>402</v>
      </c>
    </row>
    <row r="9" spans="1:19" hidden="1">
      <c r="B9" s="2" t="s">
        <v>361</v>
      </c>
      <c r="C9" s="14" t="s">
        <v>362</v>
      </c>
      <c r="D9" s="2" t="s">
        <v>366</v>
      </c>
      <c r="E9" s="2" t="s">
        <v>363</v>
      </c>
      <c r="F9" s="2" t="s">
        <v>364</v>
      </c>
      <c r="G9" s="2" t="s">
        <v>379</v>
      </c>
      <c r="H9" s="2" t="s">
        <v>380</v>
      </c>
      <c r="I9" s="2" t="s">
        <v>403</v>
      </c>
      <c r="J9" s="2" t="s">
        <v>404</v>
      </c>
      <c r="K9" s="2" t="s">
        <v>351</v>
      </c>
      <c r="L9" s="2" t="s">
        <v>250</v>
      </c>
      <c r="M9" s="2" t="s">
        <v>254</v>
      </c>
      <c r="N9" s="2" t="s">
        <v>313</v>
      </c>
      <c r="O9" s="2" t="s">
        <v>314</v>
      </c>
      <c r="P9" s="2" t="s">
        <v>315</v>
      </c>
      <c r="Q9" s="2" t="s">
        <v>316</v>
      </c>
      <c r="R9" s="2" t="s">
        <v>317</v>
      </c>
    </row>
    <row r="10" spans="1:19" hidden="1">
      <c r="C10" s="2"/>
      <c r="D10" s="2" t="s">
        <v>365</v>
      </c>
      <c r="E10" s="2" t="s">
        <v>365</v>
      </c>
      <c r="F10" s="2" t="s">
        <v>365</v>
      </c>
      <c r="G10" s="2" t="s">
        <v>365</v>
      </c>
      <c r="H10" s="2" t="s">
        <v>365</v>
      </c>
      <c r="I10" s="2" t="s">
        <v>365</v>
      </c>
      <c r="J10" s="2" t="s">
        <v>365</v>
      </c>
      <c r="K10" s="2" t="s">
        <v>365</v>
      </c>
      <c r="L10" s="2" t="s">
        <v>365</v>
      </c>
      <c r="M10" s="2" t="s">
        <v>365</v>
      </c>
      <c r="N10" s="2" t="s">
        <v>365</v>
      </c>
      <c r="O10" s="2" t="s">
        <v>365</v>
      </c>
      <c r="P10" s="2" t="s">
        <v>365</v>
      </c>
      <c r="Q10" s="2" t="s">
        <v>365</v>
      </c>
      <c r="R10" s="2" t="s">
        <v>365</v>
      </c>
    </row>
    <row r="11" spans="1:19" hidden="1">
      <c r="A11">
        <v>1</v>
      </c>
      <c r="B11" s="42" t="s">
        <v>160</v>
      </c>
      <c r="C11" s="2"/>
    </row>
    <row r="12" spans="1:19" hidden="1">
      <c r="A12">
        <f>+A11+1</f>
        <v>2</v>
      </c>
      <c r="B12" s="72" t="s">
        <v>54</v>
      </c>
      <c r="C12" s="2">
        <v>495</v>
      </c>
      <c r="D12" s="266"/>
      <c r="E12" s="266"/>
      <c r="F12" s="266"/>
      <c r="G12" s="266"/>
      <c r="H12" s="266"/>
      <c r="I12" s="266"/>
      <c r="J12" s="266"/>
      <c r="K12" s="266"/>
      <c r="L12" s="266"/>
      <c r="M12" s="266"/>
      <c r="N12" s="269"/>
      <c r="O12" s="269"/>
      <c r="P12" s="68">
        <f>SUM(D12:O12)</f>
        <v>0</v>
      </c>
      <c r="Q12" s="68">
        <v>0</v>
      </c>
      <c r="R12" s="68">
        <f>+P12+Q12</f>
        <v>0</v>
      </c>
      <c r="S12" s="68"/>
    </row>
    <row r="13" spans="1:19" hidden="1">
      <c r="A13">
        <v>3</v>
      </c>
      <c r="B13" t="s">
        <v>505</v>
      </c>
      <c r="C13" s="2">
        <v>495</v>
      </c>
      <c r="D13" s="266"/>
      <c r="E13" s="266"/>
      <c r="F13" s="266"/>
      <c r="G13" s="266"/>
      <c r="H13" s="266"/>
      <c r="I13" s="266"/>
      <c r="J13" s="266"/>
      <c r="K13" s="266"/>
      <c r="L13" s="266"/>
      <c r="M13" s="266"/>
      <c r="N13" s="269"/>
      <c r="O13" s="269"/>
      <c r="P13" s="68">
        <f>SUM(D13:O13)</f>
        <v>0</v>
      </c>
      <c r="Q13" s="68">
        <v>0</v>
      </c>
      <c r="R13" s="68">
        <f>+P13+Q13</f>
        <v>0</v>
      </c>
      <c r="S13" s="68"/>
    </row>
    <row r="14" spans="1:19" ht="13.5" hidden="1" thickBot="1">
      <c r="A14">
        <v>4</v>
      </c>
      <c r="B14" t="s">
        <v>356</v>
      </c>
      <c r="D14" s="69">
        <f t="shared" ref="D14:R14" si="0">+D12+D13</f>
        <v>0</v>
      </c>
      <c r="E14" s="69">
        <f t="shared" si="0"/>
        <v>0</v>
      </c>
      <c r="F14" s="69">
        <f t="shared" si="0"/>
        <v>0</v>
      </c>
      <c r="G14" s="69">
        <f t="shared" si="0"/>
        <v>0</v>
      </c>
      <c r="H14" s="69">
        <f t="shared" si="0"/>
        <v>0</v>
      </c>
      <c r="I14" s="69">
        <f t="shared" si="0"/>
        <v>0</v>
      </c>
      <c r="J14" s="69">
        <f t="shared" si="0"/>
        <v>0</v>
      </c>
      <c r="K14" s="69">
        <f t="shared" si="0"/>
        <v>0</v>
      </c>
      <c r="L14" s="69">
        <f t="shared" si="0"/>
        <v>0</v>
      </c>
      <c r="M14" s="69">
        <f t="shared" si="0"/>
        <v>0</v>
      </c>
      <c r="N14" s="69">
        <f t="shared" si="0"/>
        <v>0</v>
      </c>
      <c r="O14" s="69">
        <f t="shared" si="0"/>
        <v>0</v>
      </c>
      <c r="P14" s="69">
        <f t="shared" si="0"/>
        <v>0</v>
      </c>
      <c r="Q14" s="69">
        <f t="shared" si="0"/>
        <v>0</v>
      </c>
      <c r="R14" s="69">
        <f t="shared" si="0"/>
        <v>0</v>
      </c>
    </row>
    <row r="16" spans="1:19">
      <c r="B16" t="s">
        <v>666</v>
      </c>
      <c r="D16" s="68"/>
      <c r="E16" s="68"/>
      <c r="F16" s="68"/>
      <c r="G16" s="68"/>
      <c r="H16" s="68"/>
      <c r="I16" s="68"/>
      <c r="J16" s="68"/>
      <c r="K16" s="68"/>
      <c r="L16" s="68"/>
      <c r="M16" s="68"/>
      <c r="N16" s="68"/>
      <c r="O16" s="68"/>
    </row>
    <row r="17" spans="4:15">
      <c r="D17" s="68"/>
      <c r="E17" s="68"/>
      <c r="F17" s="68"/>
      <c r="G17" s="68"/>
      <c r="H17" s="68"/>
      <c r="I17" s="68"/>
      <c r="J17" s="68"/>
      <c r="K17" s="68"/>
      <c r="L17" s="68"/>
      <c r="M17" s="68"/>
      <c r="N17" s="68"/>
      <c r="O17" s="68"/>
    </row>
  </sheetData>
  <mergeCells count="2">
    <mergeCell ref="B3:R3"/>
    <mergeCell ref="A4:R4"/>
  </mergeCells>
  <phoneticPr fontId="5" type="noConversion"/>
  <pageMargins left="0.75" right="0.75" top="1" bottom="1" header="0.5" footer="0.5"/>
  <pageSetup scale="56" orientation="landscape" r:id="rId1"/>
  <headerFooter alignWithMargins="0"/>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Q7"/>
  <sheetViews>
    <sheetView workbookViewId="0">
      <selection sqref="A1:XFD5"/>
    </sheetView>
  </sheetViews>
  <sheetFormatPr defaultRowHeight="12.75"/>
  <sheetData>
    <row r="1" spans="1:17" s="657" customFormat="1" ht="15">
      <c r="O1" s="658" t="s">
        <v>756</v>
      </c>
    </row>
    <row r="2" spans="1:17" s="657" customFormat="1" ht="15">
      <c r="O2" s="658" t="s">
        <v>1062</v>
      </c>
    </row>
    <row r="3" spans="1:17" s="657" customFormat="1" ht="15">
      <c r="A3" s="942" t="s">
        <v>658</v>
      </c>
      <c r="B3" s="942"/>
      <c r="C3" s="942"/>
      <c r="D3" s="942"/>
      <c r="E3" s="942"/>
      <c r="F3" s="942"/>
      <c r="G3" s="942"/>
      <c r="H3" s="942"/>
      <c r="I3" s="942"/>
      <c r="J3" s="942"/>
      <c r="K3" s="942"/>
      <c r="L3" s="942"/>
      <c r="M3" s="942"/>
      <c r="N3" s="942"/>
      <c r="O3" s="942"/>
      <c r="P3" s="942"/>
      <c r="Q3" s="942"/>
    </row>
    <row r="4" spans="1:17" s="657" customFormat="1" ht="15">
      <c r="A4" s="942" t="s">
        <v>1063</v>
      </c>
      <c r="B4" s="942"/>
      <c r="C4" s="942"/>
      <c r="D4" s="942"/>
      <c r="E4" s="942"/>
      <c r="F4" s="942"/>
      <c r="G4" s="942"/>
      <c r="H4" s="942"/>
      <c r="I4" s="942"/>
      <c r="J4" s="942"/>
      <c r="K4" s="942"/>
      <c r="L4" s="942"/>
      <c r="M4" s="942"/>
      <c r="N4" s="942"/>
      <c r="O4" s="942"/>
      <c r="P4" s="942"/>
      <c r="Q4" s="942"/>
    </row>
    <row r="5" spans="1:17" s="657" customFormat="1" ht="15">
      <c r="A5" s="942" t="s">
        <v>765</v>
      </c>
      <c r="B5" s="942"/>
      <c r="C5" s="942"/>
      <c r="D5" s="942"/>
      <c r="E5" s="942"/>
      <c r="F5" s="942"/>
      <c r="G5" s="942"/>
      <c r="H5" s="942"/>
      <c r="I5" s="942"/>
      <c r="J5" s="942"/>
      <c r="K5" s="942"/>
      <c r="L5" s="942"/>
      <c r="M5" s="942"/>
      <c r="N5" s="942"/>
      <c r="O5" s="942"/>
      <c r="P5" s="942"/>
      <c r="Q5" s="942"/>
    </row>
    <row r="7" spans="1:17">
      <c r="A7" s="9"/>
      <c r="B7" s="9"/>
      <c r="C7" s="9"/>
      <c r="D7" s="9"/>
      <c r="E7" s="9"/>
      <c r="F7" s="9"/>
      <c r="G7" s="927" t="s">
        <v>1055</v>
      </c>
      <c r="H7" s="927"/>
      <c r="I7" s="927"/>
      <c r="J7" s="927"/>
      <c r="K7" s="927"/>
      <c r="L7" s="9"/>
      <c r="M7" s="9"/>
      <c r="N7" s="9"/>
      <c r="O7" s="9"/>
    </row>
  </sheetData>
  <mergeCells count="4">
    <mergeCell ref="A3:Q3"/>
    <mergeCell ref="A4:Q4"/>
    <mergeCell ref="A5:Q5"/>
    <mergeCell ref="G7:K7"/>
  </mergeCells>
  <pageMargins left="0.7" right="0.7" top="0.75" bottom="0.75" header="0.3" footer="0.3"/>
  <pageSetup scale="8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indexed="13"/>
    <pageSetUpPr fitToPage="1"/>
  </sheetPr>
  <dimension ref="A1:T396"/>
  <sheetViews>
    <sheetView zoomScale="80" zoomScaleNormal="80" workbookViewId="0">
      <pane xSplit="3" ySplit="12" topLeftCell="D46" activePane="bottomRight" state="frozen"/>
      <selection activeCell="F17" sqref="F17"/>
      <selection pane="topRight" activeCell="F17" sqref="F17"/>
      <selection pane="bottomLeft" activeCell="F17" sqref="F17"/>
      <selection pane="bottomRight" activeCell="A4" sqref="A4:R4"/>
    </sheetView>
  </sheetViews>
  <sheetFormatPr defaultRowHeight="12.75"/>
  <cols>
    <col min="1" max="1" width="4.42578125" bestFit="1" customWidth="1"/>
    <col min="2" max="2" width="41.5703125" bestFit="1" customWidth="1"/>
    <col min="3" max="3" width="8.28515625" style="14" customWidth="1"/>
    <col min="4" max="4" width="12.7109375" bestFit="1" customWidth="1"/>
    <col min="5" max="9" width="12" bestFit="1" customWidth="1"/>
    <col min="10" max="10" width="10.7109375" customWidth="1"/>
    <col min="11" max="11" width="13" bestFit="1" customWidth="1"/>
    <col min="12" max="12" width="15.42578125" customWidth="1"/>
    <col min="13" max="13" width="13" bestFit="1" customWidth="1"/>
    <col min="14" max="14" width="12.7109375" customWidth="1"/>
    <col min="15" max="16" width="14.85546875" bestFit="1" customWidth="1"/>
    <col min="17" max="17" width="16.42578125" bestFit="1" customWidth="1"/>
    <col min="18" max="18" width="13" bestFit="1" customWidth="1"/>
    <col min="19" max="19" width="11.28515625" bestFit="1" customWidth="1"/>
  </cols>
  <sheetData>
    <row r="1" spans="1:18">
      <c r="Q1" t="str">
        <f>A!D1</f>
        <v>Docket No. RP16-299-000</v>
      </c>
    </row>
    <row r="2" spans="1:18">
      <c r="Q2" t="s">
        <v>320</v>
      </c>
    </row>
    <row r="3" spans="1:18">
      <c r="Q3" t="s">
        <v>67</v>
      </c>
    </row>
    <row r="4" spans="1:18">
      <c r="A4" s="929" t="str">
        <f>A!A4:D4</f>
        <v>Tuscarora Gas Transmission Company</v>
      </c>
      <c r="B4" s="927"/>
      <c r="C4" s="927"/>
      <c r="D4" s="927"/>
      <c r="E4" s="927"/>
      <c r="F4" s="927"/>
      <c r="G4" s="927"/>
      <c r="H4" s="927"/>
      <c r="I4" s="927"/>
      <c r="J4" s="927"/>
      <c r="K4" s="927"/>
      <c r="L4" s="927"/>
      <c r="M4" s="927"/>
      <c r="N4" s="927"/>
      <c r="O4" s="927"/>
      <c r="P4" s="927"/>
      <c r="Q4" s="927"/>
      <c r="R4" s="927"/>
    </row>
    <row r="5" spans="1:18">
      <c r="A5" s="927" t="s">
        <v>324</v>
      </c>
      <c r="B5" s="927"/>
      <c r="C5" s="927"/>
      <c r="D5" s="927"/>
      <c r="E5" s="927"/>
      <c r="F5" s="927"/>
      <c r="G5" s="927"/>
      <c r="H5" s="927"/>
      <c r="I5" s="927"/>
      <c r="J5" s="927"/>
      <c r="K5" s="927"/>
      <c r="L5" s="927"/>
      <c r="M5" s="927"/>
      <c r="N5" s="927"/>
      <c r="O5" s="927"/>
      <c r="P5" s="927"/>
      <c r="Q5" s="927"/>
      <c r="R5" s="927"/>
    </row>
    <row r="6" spans="1:18">
      <c r="A6" s="928" t="s">
        <v>325</v>
      </c>
      <c r="B6" s="928"/>
      <c r="C6" s="928"/>
      <c r="D6" s="928"/>
      <c r="E6" s="928"/>
      <c r="F6" s="928"/>
      <c r="G6" s="928"/>
      <c r="H6" s="928"/>
      <c r="I6" s="928"/>
      <c r="J6" s="928"/>
      <c r="K6" s="928"/>
      <c r="L6" s="928"/>
      <c r="M6" s="928"/>
      <c r="N6" s="928"/>
      <c r="O6" s="928"/>
      <c r="P6" s="928"/>
      <c r="Q6" s="928"/>
      <c r="R6" s="928"/>
    </row>
    <row r="7" spans="1:18">
      <c r="A7" s="929" t="str">
        <f>'Title Input and Macros'!B9</f>
        <v>For the Twelve Months Ended December 31, 2015, As Adjusted</v>
      </c>
      <c r="B7" s="929"/>
      <c r="C7" s="929"/>
      <c r="D7" s="929"/>
      <c r="E7" s="929"/>
      <c r="F7" s="929"/>
      <c r="G7" s="929"/>
      <c r="H7" s="929"/>
      <c r="I7" s="929"/>
      <c r="J7" s="929"/>
      <c r="K7" s="929"/>
      <c r="L7" s="929"/>
      <c r="M7" s="929"/>
      <c r="N7" s="929"/>
      <c r="O7" s="929"/>
      <c r="P7" s="929"/>
      <c r="Q7" s="929"/>
      <c r="R7" s="929"/>
    </row>
    <row r="8" spans="1:18" s="2" customFormat="1">
      <c r="C8" s="14"/>
    </row>
    <row r="9" spans="1:18">
      <c r="A9" s="2" t="s">
        <v>352</v>
      </c>
      <c r="B9" s="2"/>
      <c r="C9" s="14" t="s">
        <v>394</v>
      </c>
      <c r="D9" s="2"/>
      <c r="E9" s="2"/>
      <c r="F9" s="2"/>
      <c r="G9" s="2"/>
      <c r="H9" s="2"/>
      <c r="I9" s="2"/>
      <c r="J9" s="2"/>
      <c r="K9" s="2"/>
      <c r="L9" s="2"/>
      <c r="M9" s="2"/>
      <c r="N9" s="2"/>
      <c r="O9" s="2"/>
      <c r="P9" s="2"/>
      <c r="Q9" s="2"/>
      <c r="R9" s="2" t="s">
        <v>326</v>
      </c>
    </row>
    <row r="10" spans="1:18">
      <c r="A10" s="3" t="s">
        <v>353</v>
      </c>
      <c r="B10" s="3" t="s">
        <v>354</v>
      </c>
      <c r="C10" s="33" t="s">
        <v>353</v>
      </c>
      <c r="D10" s="3" t="str">
        <f>'Title Input and Macros'!$B16</f>
        <v>January</v>
      </c>
      <c r="E10" s="3" t="str">
        <f>'Title Input and Macros'!$B17</f>
        <v>February</v>
      </c>
      <c r="F10" s="3" t="str">
        <f>'Title Input and Macros'!$B18</f>
        <v>March</v>
      </c>
      <c r="G10" s="3" t="str">
        <f>'Title Input and Macros'!$B19</f>
        <v>April</v>
      </c>
      <c r="H10" s="3" t="str">
        <f>'Title Input and Macros'!$B20</f>
        <v>May</v>
      </c>
      <c r="I10" s="3" t="str">
        <f>'Title Input and Macros'!$B21</f>
        <v>June</v>
      </c>
      <c r="J10" s="3" t="str">
        <f>'Title Input and Macros'!$B22</f>
        <v>July</v>
      </c>
      <c r="K10" s="3" t="str">
        <f>'Title Input and Macros'!$B23</f>
        <v>August</v>
      </c>
      <c r="L10" s="3" t="str">
        <f>'Title Input and Macros'!$B24</f>
        <v>September</v>
      </c>
      <c r="M10" s="3" t="str">
        <f>'Title Input and Macros'!$B25</f>
        <v>October</v>
      </c>
      <c r="N10" s="3" t="str">
        <f>'Title Input and Macros'!$B26</f>
        <v>November</v>
      </c>
      <c r="O10" s="3" t="str">
        <f>'Title Input and Macros'!$B27</f>
        <v>December</v>
      </c>
      <c r="P10" s="3" t="s">
        <v>38</v>
      </c>
      <c r="Q10" s="3" t="s">
        <v>401</v>
      </c>
      <c r="R10" s="3" t="s">
        <v>402</v>
      </c>
    </row>
    <row r="11" spans="1:18">
      <c r="B11" s="2" t="s">
        <v>361</v>
      </c>
      <c r="C11" s="14" t="s">
        <v>362</v>
      </c>
      <c r="D11" s="2" t="s">
        <v>366</v>
      </c>
      <c r="E11" s="2" t="s">
        <v>363</v>
      </c>
      <c r="F11" s="2" t="s">
        <v>364</v>
      </c>
      <c r="G11" s="2" t="s">
        <v>379</v>
      </c>
      <c r="H11" s="2" t="s">
        <v>380</v>
      </c>
      <c r="I11" s="2" t="s">
        <v>403</v>
      </c>
      <c r="J11" s="2" t="s">
        <v>404</v>
      </c>
      <c r="K11" s="2" t="s">
        <v>351</v>
      </c>
      <c r="L11" s="2" t="s">
        <v>250</v>
      </c>
      <c r="M11" s="2" t="s">
        <v>254</v>
      </c>
      <c r="N11" s="2" t="s">
        <v>313</v>
      </c>
      <c r="O11" s="2" t="s">
        <v>314</v>
      </c>
      <c r="P11" s="2" t="s">
        <v>315</v>
      </c>
      <c r="Q11" s="2" t="s">
        <v>316</v>
      </c>
      <c r="R11" s="2" t="s">
        <v>317</v>
      </c>
    </row>
    <row r="12" spans="1:18">
      <c r="C12" s="2"/>
      <c r="D12" s="2" t="s">
        <v>365</v>
      </c>
      <c r="E12" s="2" t="s">
        <v>365</v>
      </c>
      <c r="F12" s="2" t="s">
        <v>365</v>
      </c>
      <c r="G12" s="2" t="s">
        <v>365</v>
      </c>
      <c r="H12" s="2" t="s">
        <v>365</v>
      </c>
      <c r="I12" s="2" t="s">
        <v>365</v>
      </c>
      <c r="J12" s="2" t="s">
        <v>365</v>
      </c>
      <c r="K12" s="2" t="s">
        <v>365</v>
      </c>
      <c r="L12" s="2" t="s">
        <v>365</v>
      </c>
      <c r="M12" s="2" t="s">
        <v>365</v>
      </c>
      <c r="N12" s="2" t="s">
        <v>365</v>
      </c>
      <c r="O12" s="2" t="s">
        <v>365</v>
      </c>
      <c r="P12" s="2" t="s">
        <v>365</v>
      </c>
      <c r="Q12" s="2" t="s">
        <v>365</v>
      </c>
      <c r="R12" s="2" t="s">
        <v>365</v>
      </c>
    </row>
    <row r="13" spans="1:18">
      <c r="A13" s="542">
        <v>1</v>
      </c>
      <c r="B13" s="583" t="s">
        <v>171</v>
      </c>
      <c r="C13" s="497"/>
      <c r="D13" s="497"/>
      <c r="E13" s="497"/>
      <c r="F13" s="497"/>
      <c r="G13" s="497"/>
      <c r="H13" s="497"/>
      <c r="I13" s="497"/>
      <c r="J13" s="497"/>
      <c r="K13" s="497"/>
      <c r="L13" s="497"/>
      <c r="M13" s="497"/>
      <c r="N13" s="497"/>
      <c r="O13" s="497"/>
      <c r="P13" s="497"/>
      <c r="Q13" s="497"/>
      <c r="R13" s="497"/>
    </row>
    <row r="14" spans="1:18">
      <c r="A14" s="542">
        <f>A13+1</f>
        <v>2</v>
      </c>
      <c r="B14" s="583" t="s">
        <v>135</v>
      </c>
      <c r="C14" s="2"/>
      <c r="D14" s="2"/>
      <c r="E14" s="2"/>
      <c r="F14" s="2"/>
      <c r="G14" s="2"/>
      <c r="H14" s="2"/>
      <c r="I14" s="2"/>
      <c r="J14" s="2"/>
      <c r="K14" s="2"/>
      <c r="L14" s="2"/>
      <c r="M14" s="2"/>
      <c r="N14" s="2"/>
      <c r="O14" s="2"/>
      <c r="P14" s="2"/>
      <c r="Q14" s="2"/>
      <c r="R14" s="2"/>
    </row>
    <row r="15" spans="1:18">
      <c r="A15" s="542">
        <f t="shared" ref="A15:A22" si="0">A14+1</f>
        <v>3</v>
      </c>
      <c r="B15" s="507" t="s">
        <v>726</v>
      </c>
      <c r="C15" s="508">
        <v>805</v>
      </c>
      <c r="E15" s="489"/>
      <c r="F15" s="489"/>
      <c r="G15" s="489"/>
      <c r="H15" s="489"/>
      <c r="I15" s="489"/>
      <c r="J15" s="489"/>
      <c r="K15" s="489"/>
      <c r="L15" s="489"/>
      <c r="M15" s="489"/>
      <c r="N15" s="489"/>
      <c r="O15" s="489"/>
      <c r="P15" s="230">
        <f t="shared" ref="P15:P20" si="1">SUM(D15:O15)</f>
        <v>0</v>
      </c>
      <c r="Q15" s="414"/>
      <c r="R15" s="68">
        <f t="shared" ref="R15:R21" si="2">+P15+Q15</f>
        <v>0</v>
      </c>
    </row>
    <row r="16" spans="1:18">
      <c r="A16" s="542">
        <f t="shared" si="0"/>
        <v>4</v>
      </c>
      <c r="B16" s="507" t="s">
        <v>727</v>
      </c>
      <c r="C16" s="508">
        <v>806</v>
      </c>
      <c r="D16" s="587">
        <f>'H-1 (2)(a) $ '!D14</f>
        <v>258392.96000000005</v>
      </c>
      <c r="E16" s="587">
        <f>'H-1 (2)(a) $ '!E14</f>
        <v>261517.44999999995</v>
      </c>
      <c r="F16" s="587">
        <f>'H-1 (2)(a) $ '!F14</f>
        <v>-343577.94</v>
      </c>
      <c r="G16" s="587">
        <f>'H-1 (2)(a) $ '!G14</f>
        <v>-97382.66</v>
      </c>
      <c r="H16" s="587">
        <f>'H-1 (2)(a) $ '!H14</f>
        <v>13079.640000000043</v>
      </c>
      <c r="I16" s="587">
        <f>'H-1 (2)(a) $ '!I14</f>
        <v>-27015.059999999994</v>
      </c>
      <c r="J16" s="587">
        <f>'H-1 (2)(a) $ '!J14</f>
        <v>24127.419999999984</v>
      </c>
      <c r="K16" s="587">
        <f>'H-1 (2)(a) $ '!K14</f>
        <v>-161206.24</v>
      </c>
      <c r="L16" s="587">
        <f>'H-1 (2)(a) $ '!L14</f>
        <v>45420.06</v>
      </c>
      <c r="M16" s="587">
        <f>'H-1 (2)(a) $ '!M14</f>
        <v>165971.84</v>
      </c>
      <c r="N16" s="587">
        <f>'H-1 (2)(a) $ '!N14</f>
        <v>-81133.489999999976</v>
      </c>
      <c r="O16" s="587">
        <f>'H-1 (2)(a) $ '!O14</f>
        <v>426183.93</v>
      </c>
      <c r="P16" s="230">
        <f t="shared" si="1"/>
        <v>484377.91000000009</v>
      </c>
      <c r="Q16" s="416">
        <f>'H-1 ADJ'!F14</f>
        <v>-484377.91</v>
      </c>
      <c r="R16" s="68">
        <f t="shared" si="2"/>
        <v>0</v>
      </c>
    </row>
    <row r="17" spans="1:20">
      <c r="A17" s="542">
        <f t="shared" si="0"/>
        <v>5</v>
      </c>
      <c r="B17" s="507" t="s">
        <v>728</v>
      </c>
      <c r="C17" s="508">
        <v>808.1</v>
      </c>
      <c r="D17" s="587">
        <f>'H-1 (2)(a) $ '!D15</f>
        <v>355572.61</v>
      </c>
      <c r="E17" s="587">
        <f>'H-1 (2)(a) $ '!E15</f>
        <v>351393.21</v>
      </c>
      <c r="F17" s="587">
        <f>'H-1 (2)(a) $ '!F15</f>
        <v>350178.25</v>
      </c>
      <c r="G17" s="587">
        <f>'H-1 (2)(a) $ '!G15</f>
        <v>180801.91</v>
      </c>
      <c r="H17" s="587">
        <f>'H-1 (2)(a) $ '!H15</f>
        <v>295761.36</v>
      </c>
      <c r="I17" s="587">
        <f>'H-1 (2)(a) $ '!I15</f>
        <v>255725.57</v>
      </c>
      <c r="J17" s="587">
        <f>'H-1 (2)(a) $ '!J15</f>
        <v>130042.36</v>
      </c>
      <c r="K17" s="587">
        <f>'H-1 (2)(a) $ '!K15</f>
        <v>230877.81</v>
      </c>
      <c r="L17" s="587">
        <f>'H-1 (2)(a) $ '!L15</f>
        <v>268601</v>
      </c>
      <c r="M17" s="587">
        <f>'H-1 (2)(a) $ '!M15</f>
        <v>157266.5</v>
      </c>
      <c r="N17" s="587">
        <f>'H-1 (2)(a) $ '!N15</f>
        <v>195146.91999999995</v>
      </c>
      <c r="O17" s="587">
        <f>'H-1 (2)(a) $ '!O15</f>
        <v>432919.37</v>
      </c>
      <c r="P17" s="230">
        <f t="shared" si="1"/>
        <v>3204286.87</v>
      </c>
      <c r="Q17" s="416">
        <f>'H-1 ADJ'!F15</f>
        <v>-3204286.87</v>
      </c>
      <c r="R17" s="68">
        <f t="shared" si="2"/>
        <v>0</v>
      </c>
    </row>
    <row r="18" spans="1:20">
      <c r="A18" s="542">
        <f t="shared" si="0"/>
        <v>6</v>
      </c>
      <c r="B18" s="507" t="s">
        <v>729</v>
      </c>
      <c r="C18" s="508">
        <v>808.2</v>
      </c>
      <c r="D18" s="587">
        <f>'H-1 (2)(a) $ '!D16</f>
        <v>-350232.6</v>
      </c>
      <c r="E18" s="587">
        <f>'H-1 (2)(a) $ '!E16</f>
        <v>-364519.6999999999</v>
      </c>
      <c r="F18" s="587">
        <f>'H-1 (2)(a) $ '!F16</f>
        <v>-323322.21999999997</v>
      </c>
      <c r="G18" s="587">
        <f>'H-1 (2)(a) $ '!G16</f>
        <v>-218223.7</v>
      </c>
      <c r="H18" s="587">
        <f>'H-1 (2)(a) $ '!H16</f>
        <v>-290830.32</v>
      </c>
      <c r="I18" s="587">
        <f>'H-1 (2)(a) $ '!I16</f>
        <v>-254972.79999999999</v>
      </c>
      <c r="J18" s="587">
        <f>'H-1 (2)(a) $ '!J16</f>
        <v>-213741.77000000005</v>
      </c>
      <c r="K18" s="587">
        <f>'H-1 (2)(a) $ '!K16</f>
        <v>-168209.40999999995</v>
      </c>
      <c r="L18" s="587">
        <f>'H-1 (2)(a) $ '!L16</f>
        <v>-256654</v>
      </c>
      <c r="M18" s="587">
        <f>'H-1 (2)(a) $ '!M16</f>
        <v>-177710.64</v>
      </c>
      <c r="N18" s="587">
        <f>'H-1 (2)(a) $ '!N16</f>
        <v>-143684.98000000001</v>
      </c>
      <c r="O18" s="587">
        <f>'H-1 (2)(a) $ '!O16</f>
        <v>-426183.93</v>
      </c>
      <c r="P18" s="230">
        <f t="shared" si="1"/>
        <v>-3188286.0700000003</v>
      </c>
      <c r="Q18" s="416">
        <f>'H-1 ADJ'!F16</f>
        <v>3188286.07</v>
      </c>
      <c r="R18" s="68">
        <f t="shared" si="2"/>
        <v>0</v>
      </c>
    </row>
    <row r="19" spans="1:20">
      <c r="A19" s="542">
        <f t="shared" si="0"/>
        <v>7</v>
      </c>
      <c r="B19" s="507" t="s">
        <v>730</v>
      </c>
      <c r="C19" s="508">
        <v>810</v>
      </c>
      <c r="D19" s="587">
        <f>'H-1 (1)(c) $'!D14</f>
        <v>-87911.51</v>
      </c>
      <c r="E19" s="587">
        <f>'H-1 (1)(c) $'!E14</f>
        <v>-41377.17</v>
      </c>
      <c r="F19" s="587">
        <f>'H-1 (1)(c) $'!F14</f>
        <v>-30673.33</v>
      </c>
      <c r="G19" s="587">
        <f>'H-1 (1)(c) $'!G14</f>
        <v>-7954.97</v>
      </c>
      <c r="H19" s="587">
        <f>'H-1 (1)(c) $'!H14</f>
        <v>-6781.32</v>
      </c>
      <c r="I19" s="587">
        <f>'H-1 (1)(c) $'!I14</f>
        <v>-28452.73</v>
      </c>
      <c r="J19" s="587">
        <f>'H-1 (1)(c) $'!J14</f>
        <v>-17331.259999999998</v>
      </c>
      <c r="K19" s="587">
        <f>'H-1 (1)(c) $'!K14</f>
        <v>-18741.12</v>
      </c>
      <c r="L19" s="587">
        <f>'H-1 (1)(c) $'!L14</f>
        <v>-7249.25</v>
      </c>
      <c r="M19" s="587">
        <f>'H-1 (1)(c) $'!M14</f>
        <v>-2469.59</v>
      </c>
      <c r="N19" s="587">
        <f>'H-1 (1)(c) $'!N14</f>
        <v>-17521.53</v>
      </c>
      <c r="O19" s="587">
        <f>'H-1 (1)(c) $'!O14</f>
        <v>-104384.77</v>
      </c>
      <c r="P19" s="230">
        <f t="shared" si="1"/>
        <v>-370848.55000000005</v>
      </c>
      <c r="Q19" s="416">
        <f>'H-1 ADJ'!F17</f>
        <v>370848.55000000005</v>
      </c>
      <c r="R19" s="68">
        <f t="shared" si="2"/>
        <v>0</v>
      </c>
    </row>
    <row r="20" spans="1:20">
      <c r="A20" s="542">
        <f t="shared" si="0"/>
        <v>8</v>
      </c>
      <c r="B20" s="507" t="s">
        <v>731</v>
      </c>
      <c r="C20" s="508">
        <v>812</v>
      </c>
      <c r="D20" s="587">
        <f>'H-1 (1)(c) $'!D15</f>
        <v>-90428.59</v>
      </c>
      <c r="E20" s="587">
        <f>'H-1 (1)(c) $'!E15</f>
        <v>-185323.31</v>
      </c>
      <c r="F20" s="587">
        <f>'H-1 (1)(c) $'!F15</f>
        <v>133335.09</v>
      </c>
      <c r="G20" s="587">
        <f>'H-1 (1)(c) $'!G15</f>
        <v>368.2</v>
      </c>
      <c r="H20" s="587">
        <f>'H-1 (1)(c) $'!H15</f>
        <v>1611.12</v>
      </c>
      <c r="I20" s="587">
        <f>'H-1 (1)(c) $'!I15</f>
        <v>83029.98</v>
      </c>
      <c r="J20" s="587">
        <f>'H-1 (1)(c) $'!J15</f>
        <v>67193.100000000006</v>
      </c>
      <c r="K20" s="587">
        <f>'H-1 (1)(c) $'!K15</f>
        <v>187578.08</v>
      </c>
      <c r="L20" s="587">
        <f>'H-1 (1)(c) $'!L15</f>
        <v>-106.28</v>
      </c>
      <c r="M20" s="587">
        <f>'H-1 (1)(c) $'!M15</f>
        <v>-46906.82</v>
      </c>
      <c r="N20" s="587">
        <f>'H-1 (1)(c) $'!N15</f>
        <v>40602.17</v>
      </c>
      <c r="O20" s="587">
        <f>'H-1 (1)(c) $'!O15</f>
        <v>-318872.71999999997</v>
      </c>
      <c r="P20" s="230">
        <f t="shared" si="1"/>
        <v>-127919.97999999998</v>
      </c>
      <c r="Q20" s="416">
        <f>'H-1 ADJ'!F18</f>
        <v>127919.97999999998</v>
      </c>
      <c r="R20" s="68">
        <f t="shared" si="2"/>
        <v>0</v>
      </c>
    </row>
    <row r="21" spans="1:20">
      <c r="A21" s="542">
        <f t="shared" si="0"/>
        <v>9</v>
      </c>
      <c r="B21" s="507" t="s">
        <v>171</v>
      </c>
      <c r="C21" s="508">
        <v>813</v>
      </c>
      <c r="D21" s="587">
        <f>'H-1 (2)(a) $ '!D17</f>
        <v>90428.59</v>
      </c>
      <c r="E21" s="587">
        <f>'H-1 (2)(a) $ '!E17</f>
        <v>185323.31</v>
      </c>
      <c r="F21" s="587">
        <f>'H-1 (2)(a) $ '!F17</f>
        <v>-133335.09</v>
      </c>
      <c r="G21" s="587">
        <f>'H-1 (2)(a) $ '!G17</f>
        <v>-368.2</v>
      </c>
      <c r="H21" s="587">
        <f>'H-1 (2)(a) $ '!H17</f>
        <v>-1611.12</v>
      </c>
      <c r="I21" s="587">
        <f>'H-1 (2)(a) $ '!I17</f>
        <v>-83029.98</v>
      </c>
      <c r="J21" s="587">
        <f>'H-1 (2)(a) $ '!J17</f>
        <v>-67193.100000000006</v>
      </c>
      <c r="K21" s="587">
        <f>'H-1 (2)(a) $ '!K17</f>
        <v>-187578.08</v>
      </c>
      <c r="L21" s="587">
        <f>'H-1 (2)(a) $ '!L17</f>
        <v>106.28</v>
      </c>
      <c r="M21" s="587">
        <f>'H-1 (2)(a) $ '!M17</f>
        <v>46906.82</v>
      </c>
      <c r="N21" s="587">
        <f>'H-1 (2)(a) $ '!N17</f>
        <v>-40602.17</v>
      </c>
      <c r="O21" s="587">
        <f>'H-1 (2)(a) $ '!O17</f>
        <v>318872.71999999997</v>
      </c>
      <c r="P21" s="419">
        <f>SUM(D21:O21)</f>
        <v>127919.97999999998</v>
      </c>
      <c r="Q21" s="418">
        <f>'H-1 ADJ'!F19</f>
        <v>-127919.98</v>
      </c>
      <c r="R21" s="145">
        <f t="shared" si="2"/>
        <v>0</v>
      </c>
    </row>
    <row r="22" spans="1:20" ht="13.5" thickBot="1">
      <c r="A22" s="542">
        <f t="shared" si="0"/>
        <v>10</v>
      </c>
      <c r="B22" s="583" t="s">
        <v>173</v>
      </c>
      <c r="C22" s="2"/>
      <c r="D22" s="586">
        <f>SUM(D16:D21)</f>
        <v>175821.46000000008</v>
      </c>
      <c r="E22" s="586">
        <f t="shared" ref="E22:R22" si="3">SUM(E15:E21)</f>
        <v>207013.79000000004</v>
      </c>
      <c r="F22" s="586">
        <f t="shared" si="3"/>
        <v>-347395.24</v>
      </c>
      <c r="G22" s="586">
        <f t="shared" si="3"/>
        <v>-142759.42000000001</v>
      </c>
      <c r="H22" s="586">
        <f t="shared" si="3"/>
        <v>11229.359999999993</v>
      </c>
      <c r="I22" s="586">
        <f t="shared" si="3"/>
        <v>-54715.019999999975</v>
      </c>
      <c r="J22" s="586">
        <f t="shared" si="3"/>
        <v>-76903.250000000073</v>
      </c>
      <c r="K22" s="586">
        <f t="shared" si="3"/>
        <v>-117278.95999999993</v>
      </c>
      <c r="L22" s="586">
        <f t="shared" si="3"/>
        <v>50117.81</v>
      </c>
      <c r="M22" s="586">
        <f t="shared" si="3"/>
        <v>143058.10999999996</v>
      </c>
      <c r="N22" s="586">
        <f t="shared" si="3"/>
        <v>-47193.080000000031</v>
      </c>
      <c r="O22" s="586">
        <f t="shared" si="3"/>
        <v>328534.60000000003</v>
      </c>
      <c r="P22" s="417">
        <f t="shared" si="3"/>
        <v>129530.15999999992</v>
      </c>
      <c r="Q22" s="417">
        <f t="shared" si="3"/>
        <v>-129530.1600000004</v>
      </c>
      <c r="R22" s="417">
        <f t="shared" si="3"/>
        <v>0</v>
      </c>
    </row>
    <row r="23" spans="1:20" ht="13.5" thickTop="1">
      <c r="C23" s="497"/>
      <c r="D23" s="585"/>
      <c r="E23" s="585"/>
      <c r="F23" s="585"/>
      <c r="G23" s="585"/>
      <c r="H23" s="585"/>
      <c r="I23" s="585"/>
      <c r="J23" s="585"/>
      <c r="K23" s="585"/>
      <c r="L23" s="585"/>
      <c r="M23" s="585"/>
      <c r="N23" s="585"/>
      <c r="O23" s="585"/>
      <c r="P23" s="585"/>
      <c r="Q23" s="585"/>
      <c r="R23" s="585"/>
    </row>
    <row r="24" spans="1:20">
      <c r="A24" s="542">
        <f>A22+1</f>
        <v>11</v>
      </c>
      <c r="B24" s="583" t="s">
        <v>181</v>
      </c>
      <c r="C24" s="508"/>
    </row>
    <row r="25" spans="1:20">
      <c r="A25" s="542">
        <f>A24+1</f>
        <v>12</v>
      </c>
      <c r="B25" s="583" t="s">
        <v>135</v>
      </c>
      <c r="C25" s="508"/>
    </row>
    <row r="26" spans="1:20">
      <c r="A26" s="542">
        <f>A25+1</f>
        <v>13</v>
      </c>
      <c r="B26" s="507" t="s">
        <v>162</v>
      </c>
      <c r="C26" s="508">
        <v>850</v>
      </c>
      <c r="D26" s="68">
        <f>'H-1 (1)(a)'!D26+'H-1 (1)(b)'!D26</f>
        <v>21344.920000000013</v>
      </c>
      <c r="E26" s="68">
        <f>'H-1 (1)(a)'!E26+'H-1 (1)(b)'!E26</f>
        <v>32184.190000000006</v>
      </c>
      <c r="F26" s="68">
        <f>'H-1 (1)(a)'!F26+'H-1 (1)(b)'!F26</f>
        <v>36108.75</v>
      </c>
      <c r="G26" s="68">
        <f>'H-1 (1)(a)'!G26+'H-1 (1)(b)'!G26</f>
        <v>22089.540000000008</v>
      </c>
      <c r="H26" s="68">
        <f>'H-1 (1)(a)'!H26+'H-1 (1)(b)'!H26</f>
        <v>31479.58</v>
      </c>
      <c r="I26" s="68">
        <f>'H-1 (1)(a)'!I26+'H-1 (1)(b)'!I26</f>
        <v>57881.130000000005</v>
      </c>
      <c r="J26" s="68">
        <f>'H-1 (1)(a)'!J26+'H-1 (1)(b)'!J26</f>
        <v>71740.190000000017</v>
      </c>
      <c r="K26" s="68">
        <f>'H-1 (1)(a)'!K26+'H-1 (1)(b)'!K26</f>
        <v>25870.04</v>
      </c>
      <c r="L26" s="68">
        <f>'H-1 (1)(a)'!L26+'H-1 (1)(b)'!L26</f>
        <v>22781.929999999989</v>
      </c>
      <c r="M26" s="68">
        <f>'H-1 (1)(a)'!M26+'H-1 (1)(b)'!M26</f>
        <v>18088.409999999996</v>
      </c>
      <c r="N26" s="68">
        <f>'H-1 (1)(a)'!N26+'H-1 (1)(b)'!N26</f>
        <v>36019.909999999996</v>
      </c>
      <c r="O26" s="68">
        <f>'H-1 (1)(a)'!O26+'H-1 (1)(b)'!O26</f>
        <v>46224.930000000015</v>
      </c>
      <c r="P26" s="68">
        <f>SUM(D26:O26)</f>
        <v>421813.51999999996</v>
      </c>
      <c r="Q26" s="68">
        <f>+'H-1 (1)(a)'!Q26</f>
        <v>7519.0452000000005</v>
      </c>
      <c r="R26" s="68">
        <f>+P26+Q26</f>
        <v>429332.56519999995</v>
      </c>
      <c r="S26" s="68"/>
    </row>
    <row r="27" spans="1:20">
      <c r="A27" s="542">
        <f t="shared" ref="A27:A36" si="4">A26+1</f>
        <v>14</v>
      </c>
      <c r="B27" s="507" t="s">
        <v>163</v>
      </c>
      <c r="C27" s="508">
        <v>851</v>
      </c>
      <c r="D27" s="68">
        <f>'H-1 (1)(a)'!D27+'H-1 (1)(b)'!D27</f>
        <v>447.41</v>
      </c>
      <c r="E27" s="68">
        <f>'H-1 (1)(a)'!E27+'H-1 (1)(b)'!E27</f>
        <v>0</v>
      </c>
      <c r="F27" s="68">
        <f>'H-1 (1)(a)'!F27+'H-1 (1)(b)'!F27</f>
        <v>0</v>
      </c>
      <c r="G27" s="68">
        <f>'H-1 (1)(a)'!G27+'H-1 (1)(b)'!G27</f>
        <v>0</v>
      </c>
      <c r="H27" s="68">
        <f>'H-1 (1)(a)'!H27+'H-1 (1)(b)'!H27</f>
        <v>14.56</v>
      </c>
      <c r="I27" s="68">
        <f>'H-1 (1)(a)'!I27+'H-1 (1)(b)'!I27</f>
        <v>125.91</v>
      </c>
      <c r="J27" s="68">
        <f>'H-1 (1)(a)'!J27+'H-1 (1)(b)'!J27</f>
        <v>0</v>
      </c>
      <c r="K27" s="68">
        <f>'H-1 (1)(a)'!K27+'H-1 (1)(b)'!K27</f>
        <v>915.79</v>
      </c>
      <c r="L27" s="68">
        <f>'H-1 (1)(a)'!L27+'H-1 (1)(b)'!L27</f>
        <v>514.95000000000005</v>
      </c>
      <c r="M27" s="68">
        <f>'H-1 (1)(a)'!M27+'H-1 (1)(b)'!M27</f>
        <v>26.310000000000002</v>
      </c>
      <c r="N27" s="68">
        <f>'H-1 (1)(a)'!N27+'H-1 (1)(b)'!N27</f>
        <v>81.22999999999999</v>
      </c>
      <c r="O27" s="68">
        <f>'H-1 (1)(a)'!O27+'H-1 (1)(b)'!O27</f>
        <v>0</v>
      </c>
      <c r="P27" s="68">
        <f t="shared" ref="P27:P36" si="5">SUM(D27:O27)</f>
        <v>2126.16</v>
      </c>
      <c r="Q27" s="68">
        <f>'H-1 (1)(a)'!Q27+'H-1 (1)(b)'!Q27</f>
        <v>0</v>
      </c>
      <c r="R27" s="68">
        <f t="shared" ref="R27:R36" si="6">+P27+Q27</f>
        <v>2126.16</v>
      </c>
      <c r="S27" s="68"/>
    </row>
    <row r="28" spans="1:20">
      <c r="A28" s="542">
        <f t="shared" si="4"/>
        <v>15</v>
      </c>
      <c r="B28" s="507" t="s">
        <v>164</v>
      </c>
      <c r="C28" s="508">
        <v>852</v>
      </c>
      <c r="D28" s="68">
        <f>'H-1 (1)(a)'!D28+'H-1 (1)(b)'!D28</f>
        <v>8165.31</v>
      </c>
      <c r="E28" s="68">
        <f>'H-1 (1)(a)'!E28+'H-1 (1)(b)'!E28</f>
        <v>5601.6</v>
      </c>
      <c r="F28" s="68">
        <f>'H-1 (1)(a)'!F28+'H-1 (1)(b)'!F28</f>
        <v>7960.49</v>
      </c>
      <c r="G28" s="68">
        <f>'H-1 (1)(a)'!G28+'H-1 (1)(b)'!G28</f>
        <v>8601.99</v>
      </c>
      <c r="H28" s="68">
        <f>'H-1 (1)(a)'!H28+'H-1 (1)(b)'!H28</f>
        <v>1952.45</v>
      </c>
      <c r="I28" s="68">
        <f>'H-1 (1)(a)'!I28+'H-1 (1)(b)'!I28</f>
        <v>7973.62</v>
      </c>
      <c r="J28" s="68">
        <f>'H-1 (1)(a)'!J28+'H-1 (1)(b)'!J28</f>
        <v>2547.19</v>
      </c>
      <c r="K28" s="68">
        <f>'H-1 (1)(a)'!K28+'H-1 (1)(b)'!K28</f>
        <v>2497.4499999999998</v>
      </c>
      <c r="L28" s="68">
        <f>'H-1 (1)(a)'!L28+'H-1 (1)(b)'!L28</f>
        <v>8574.43</v>
      </c>
      <c r="M28" s="68">
        <f>'H-1 (1)(a)'!M28+'H-1 (1)(b)'!M28</f>
        <v>8343.5499999999993</v>
      </c>
      <c r="N28" s="68">
        <f>'H-1 (1)(a)'!N28+'H-1 (1)(b)'!N28</f>
        <v>8293.7800000000007</v>
      </c>
      <c r="O28" s="68">
        <f>'H-1 (1)(a)'!O28+'H-1 (1)(b)'!O28</f>
        <v>30409.79</v>
      </c>
      <c r="P28" s="68">
        <f t="shared" si="5"/>
        <v>100921.65</v>
      </c>
      <c r="Q28" s="68">
        <f>'H-1 (1)(a)'!Q28+'H-1 (1)(b)'!Q28</f>
        <v>0</v>
      </c>
      <c r="R28" s="68">
        <f t="shared" si="6"/>
        <v>100921.65</v>
      </c>
      <c r="S28" s="68"/>
    </row>
    <row r="29" spans="1:20">
      <c r="A29" s="542">
        <f t="shared" si="4"/>
        <v>16</v>
      </c>
      <c r="B29" s="507" t="s">
        <v>152</v>
      </c>
      <c r="C29" s="508">
        <v>853</v>
      </c>
      <c r="D29" s="68">
        <f>'H-1 (1)(a)'!D29+'H-1 (1)(b)'!D29</f>
        <v>19787.160000000011</v>
      </c>
      <c r="E29" s="68">
        <f>'H-1 (1)(a)'!E29+'H-1 (1)(b)'!E29</f>
        <v>76140.99000000002</v>
      </c>
      <c r="F29" s="68">
        <f>'H-1 (1)(a)'!F29+'H-1 (1)(b)'!F29</f>
        <v>21257.360000000004</v>
      </c>
      <c r="G29" s="68">
        <f>'H-1 (1)(a)'!G29+'H-1 (1)(b)'!G29</f>
        <v>12963.31</v>
      </c>
      <c r="H29" s="68">
        <f>'H-1 (1)(a)'!H29+'H-1 (1)(b)'!H29</f>
        <v>27629.64</v>
      </c>
      <c r="I29" s="68">
        <f>'H-1 (1)(a)'!I29+'H-1 (1)(b)'!I29</f>
        <v>31702.760000000024</v>
      </c>
      <c r="J29" s="68">
        <f>'H-1 (1)(a)'!J29+'H-1 (1)(b)'!J29</f>
        <v>18071.880000000005</v>
      </c>
      <c r="K29" s="68">
        <f>'H-1 (1)(a)'!K29+'H-1 (1)(b)'!K29</f>
        <v>24949.080000000009</v>
      </c>
      <c r="L29" s="68">
        <f>'H-1 (1)(a)'!L29+'H-1 (1)(b)'!L29</f>
        <v>21222.250000000011</v>
      </c>
      <c r="M29" s="68">
        <f>'H-1 (1)(a)'!M29+'H-1 (1)(b)'!M29</f>
        <v>27072.75</v>
      </c>
      <c r="N29" s="68">
        <f>'H-1 (1)(a)'!N29+'H-1 (1)(b)'!N29</f>
        <v>11025.999999999998</v>
      </c>
      <c r="O29" s="68">
        <f>'H-1 (1)(a)'!O29+'H-1 (1)(b)'!O29</f>
        <v>52639.990000000005</v>
      </c>
      <c r="P29" s="68">
        <f>SUM(D29:O29)</f>
        <v>344463.17000000004</v>
      </c>
      <c r="Q29" s="68">
        <f>'H-1 (1)(a)'!Q29+'H-1 (1)(b)'!Q29</f>
        <v>6539.5293000000011</v>
      </c>
      <c r="R29" s="68">
        <f t="shared" si="6"/>
        <v>351002.69930000004</v>
      </c>
      <c r="S29" s="68"/>
    </row>
    <row r="30" spans="1:20" s="72" customFormat="1">
      <c r="A30" s="542">
        <f t="shared" si="4"/>
        <v>17</v>
      </c>
      <c r="B30" s="513" t="s">
        <v>153</v>
      </c>
      <c r="C30" s="524">
        <v>854</v>
      </c>
      <c r="D30" s="106">
        <f>'H-1 (2)(a) $ '!D18</f>
        <v>87911.51</v>
      </c>
      <c r="E30" s="106">
        <f>'H-1 (2)(a) $ '!E18</f>
        <v>41377.17</v>
      </c>
      <c r="F30" s="106">
        <f>'H-1 (2)(a) $ '!F18</f>
        <v>30673.33</v>
      </c>
      <c r="G30" s="106">
        <f>'H-1 (2)(a) $ '!G18</f>
        <v>7954.97</v>
      </c>
      <c r="H30" s="106">
        <f>'H-1 (2)(a) $ '!H18</f>
        <v>6781.32</v>
      </c>
      <c r="I30" s="106">
        <f>'H-1 (2)(a) $ '!I18</f>
        <v>28452.73</v>
      </c>
      <c r="J30" s="106">
        <f>'H-1 (2)(a) $ '!J18</f>
        <v>17331.259999999998</v>
      </c>
      <c r="K30" s="106">
        <f>'H-1 (2)(a) $ '!K18</f>
        <v>18741.12</v>
      </c>
      <c r="L30" s="106">
        <f>'H-1 (2)(a) $ '!L18</f>
        <v>7249.25</v>
      </c>
      <c r="M30" s="106">
        <f>'H-1 (2)(a) $ '!M18</f>
        <v>2469.59</v>
      </c>
      <c r="N30" s="106">
        <f>'H-1 (2)(a) $ '!N18</f>
        <v>17521.53</v>
      </c>
      <c r="O30" s="106">
        <f>'H-1 (2)(a) $ '!O18</f>
        <v>104384.77</v>
      </c>
      <c r="P30" s="68">
        <f>SUM(D30:O30)</f>
        <v>370848.55000000005</v>
      </c>
      <c r="Q30" s="68">
        <f>'H-1 ADJ'!F27</f>
        <v>-370848.55</v>
      </c>
      <c r="R30" s="106">
        <f t="shared" si="6"/>
        <v>0</v>
      </c>
      <c r="S30" s="106"/>
    </row>
    <row r="31" spans="1:20">
      <c r="A31" s="542">
        <f t="shared" si="4"/>
        <v>18</v>
      </c>
      <c r="B31" s="507" t="s">
        <v>154</v>
      </c>
      <c r="C31" s="508">
        <v>855</v>
      </c>
      <c r="D31" s="68">
        <f>'H-1 (1)(a)'!D31+'H-1 (1)(b)'!D31</f>
        <v>0</v>
      </c>
      <c r="E31" s="68">
        <f>'H-1 (1)(a)'!E31+'H-1 (1)(b)'!E31</f>
        <v>0</v>
      </c>
      <c r="F31" s="68">
        <f>'H-1 (1)(a)'!F31+'H-1 (1)(b)'!F31</f>
        <v>0</v>
      </c>
      <c r="G31" s="68">
        <f>'H-1 (1)(a)'!G31+'H-1 (1)(b)'!G31</f>
        <v>0</v>
      </c>
      <c r="H31" s="68">
        <f>'H-1 (1)(a)'!H31+'H-1 (1)(b)'!H31</f>
        <v>0</v>
      </c>
      <c r="I31" s="68">
        <f>'H-1 (1)(a)'!I31+'H-1 (1)(b)'!I31</f>
        <v>0</v>
      </c>
      <c r="J31" s="68">
        <f>'H-1 (1)(a)'!J31+'H-1 (1)(b)'!J31</f>
        <v>0</v>
      </c>
      <c r="K31" s="68">
        <f>'H-1 (1)(a)'!K31+'H-1 (1)(b)'!K31</f>
        <v>0</v>
      </c>
      <c r="L31" s="68">
        <f>'H-1 (1)(a)'!L31+'H-1 (1)(b)'!L31</f>
        <v>0</v>
      </c>
      <c r="M31" s="68">
        <f>'H-1 (1)(a)'!M31+'H-1 (1)(b)'!M31</f>
        <v>0</v>
      </c>
      <c r="N31" s="68">
        <f>'H-1 (1)(a)'!N31+'H-1 (1)(b)'!N31</f>
        <v>0</v>
      </c>
      <c r="O31" s="68">
        <f>'H-1 (1)(a)'!O31+'H-1 (1)(b)'!O31</f>
        <v>0</v>
      </c>
      <c r="P31" s="68">
        <f t="shared" si="5"/>
        <v>0</v>
      </c>
      <c r="Q31" s="68">
        <f>'H-1 (1)(a)'!Q31+'H-1 (1)(b)'!Q31</f>
        <v>0</v>
      </c>
      <c r="R31" s="68">
        <f t="shared" si="6"/>
        <v>0</v>
      </c>
      <c r="S31" s="68"/>
    </row>
    <row r="32" spans="1:20">
      <c r="A32" s="542">
        <f t="shared" si="4"/>
        <v>19</v>
      </c>
      <c r="B32" s="507" t="s">
        <v>155</v>
      </c>
      <c r="C32" s="508">
        <v>856</v>
      </c>
      <c r="D32" s="68">
        <f>'H-1 (1)(a)'!D32+'H-1 (1)(b)'!D32</f>
        <v>2683.7699999999995</v>
      </c>
      <c r="E32" s="68">
        <f>'H-1 (1)(a)'!E32+'H-1 (1)(b)'!E32</f>
        <v>4374.2000000000007</v>
      </c>
      <c r="F32" s="68">
        <f>'H-1 (1)(a)'!F32+'H-1 (1)(b)'!F32</f>
        <v>2398.1999999999998</v>
      </c>
      <c r="G32" s="68">
        <f>'H-1 (1)(a)'!G32+'H-1 (1)(b)'!G32</f>
        <v>96638.929999999978</v>
      </c>
      <c r="H32" s="68">
        <f>'H-1 (1)(a)'!H32+'H-1 (1)(b)'!H32</f>
        <v>2278.3599999999997</v>
      </c>
      <c r="I32" s="68">
        <f>'H-1 (1)(a)'!I32+'H-1 (1)(b)'!I32</f>
        <v>6232.18</v>
      </c>
      <c r="J32" s="68">
        <f>'H-1 (1)(a)'!J32+'H-1 (1)(b)'!J32</f>
        <v>7630.0599999999959</v>
      </c>
      <c r="K32" s="68">
        <f>'H-1 (1)(a)'!K32+'H-1 (1)(b)'!K32</f>
        <v>5000.3799999999983</v>
      </c>
      <c r="L32" s="68">
        <f>'H-1 (1)(a)'!L32+'H-1 (1)(b)'!L32</f>
        <v>3197.62</v>
      </c>
      <c r="M32" s="68">
        <f>'H-1 (1)(a)'!M32+'H-1 (1)(b)'!M32</f>
        <v>5962.15</v>
      </c>
      <c r="N32" s="68">
        <f>'H-1 (1)(a)'!N32+'H-1 (1)(b)'!N32</f>
        <v>9078.36</v>
      </c>
      <c r="O32" s="68">
        <f>'H-1 (1)(a)'!O32+'H-1 (1)(b)'!O32</f>
        <v>8982.64</v>
      </c>
      <c r="P32" s="68">
        <f t="shared" si="5"/>
        <v>154456.84999999998</v>
      </c>
      <c r="Q32" s="68">
        <f>'H-1 (1)(a)'!Q32+'H-1 (1)(b)'!Q32</f>
        <v>867.68579999999963</v>
      </c>
      <c r="R32" s="68">
        <f t="shared" si="6"/>
        <v>155324.53579999998</v>
      </c>
      <c r="S32" s="68"/>
      <c r="T32" s="68"/>
    </row>
    <row r="33" spans="1:19">
      <c r="A33" s="542">
        <f t="shared" si="4"/>
        <v>20</v>
      </c>
      <c r="B33" s="507" t="s">
        <v>182</v>
      </c>
      <c r="C33" s="508">
        <v>857</v>
      </c>
      <c r="D33" s="68">
        <f>'H-1 (1)(a)'!D33+'H-1 (1)(b)'!D33</f>
        <v>7084.9100000000017</v>
      </c>
      <c r="E33" s="68">
        <f>'H-1 (1)(a)'!E33+'H-1 (1)(b)'!E33</f>
        <v>5523.55</v>
      </c>
      <c r="F33" s="68">
        <f>'H-1 (1)(a)'!F33+'H-1 (1)(b)'!F33</f>
        <v>5961.9199999999992</v>
      </c>
      <c r="G33" s="68">
        <f>'H-1 (1)(a)'!G33+'H-1 (1)(b)'!G33</f>
        <v>5130.79</v>
      </c>
      <c r="H33" s="68">
        <f>'H-1 (1)(a)'!H33+'H-1 (1)(b)'!H33</f>
        <v>14731.839999999998</v>
      </c>
      <c r="I33" s="68">
        <f>'H-1 (1)(a)'!I33+'H-1 (1)(b)'!I33</f>
        <v>4131.7699999999995</v>
      </c>
      <c r="J33" s="68">
        <f>'H-1 (1)(a)'!J33+'H-1 (1)(b)'!J33</f>
        <v>8821.1700000000019</v>
      </c>
      <c r="K33" s="68">
        <f>'H-1 (1)(a)'!K33+'H-1 (1)(b)'!K33</f>
        <v>9197.11</v>
      </c>
      <c r="L33" s="68">
        <f>'H-1 (1)(a)'!L33+'H-1 (1)(b)'!L33</f>
        <v>12491.520000000006</v>
      </c>
      <c r="M33" s="68">
        <f>'H-1 (1)(a)'!M33+'H-1 (1)(b)'!M33</f>
        <v>6284.2699999999959</v>
      </c>
      <c r="N33" s="68">
        <f>'H-1 (1)(a)'!N33+'H-1 (1)(b)'!N33</f>
        <v>5378.2599999999966</v>
      </c>
      <c r="O33" s="68">
        <f>'H-1 (1)(a)'!O33+'H-1 (1)(b)'!O33</f>
        <v>2928.9700000000003</v>
      </c>
      <c r="P33" s="68">
        <f t="shared" si="5"/>
        <v>87666.079999999987</v>
      </c>
      <c r="Q33" s="68">
        <f>'H-1 (1)(a)'!Q33+'H-1 (1)(b)'!Q33</f>
        <v>2280.6284999999998</v>
      </c>
      <c r="R33" s="68">
        <f t="shared" si="6"/>
        <v>89946.708499999993</v>
      </c>
      <c r="S33" s="68"/>
    </row>
    <row r="34" spans="1:19">
      <c r="A34" s="542">
        <f t="shared" si="4"/>
        <v>21</v>
      </c>
      <c r="B34" s="507" t="s">
        <v>157</v>
      </c>
      <c r="C34" s="508">
        <v>858</v>
      </c>
      <c r="D34" s="68">
        <f>'H-1 (1)(a)'!D34+'H-1 (1)(b)'!D34</f>
        <v>0</v>
      </c>
      <c r="E34" s="68">
        <f>'H-1 (1)(a)'!E34+'H-1 (1)(b)'!E34</f>
        <v>0</v>
      </c>
      <c r="F34" s="68">
        <f>'H-1 (1)(a)'!F34+'H-1 (1)(b)'!F34</f>
        <v>0</v>
      </c>
      <c r="G34" s="68">
        <f>'H-1 (1)(a)'!G34+'H-1 (1)(b)'!G34</f>
        <v>0</v>
      </c>
      <c r="H34" s="68">
        <f>'H-1 (1)(a)'!H34+'H-1 (1)(b)'!H34</f>
        <v>0</v>
      </c>
      <c r="I34" s="68">
        <f>'H-1 (1)(a)'!I34+'H-1 (1)(b)'!I34</f>
        <v>0</v>
      </c>
      <c r="J34" s="68">
        <f>'H-1 (1)(a)'!J34+'H-1 (1)(b)'!J34</f>
        <v>0</v>
      </c>
      <c r="K34" s="68">
        <f>'H-1 (1)(a)'!K34+'H-1 (1)(b)'!K34</f>
        <v>0</v>
      </c>
      <c r="L34" s="68">
        <f>'H-1 (1)(a)'!L34+'H-1 (1)(b)'!L34</f>
        <v>0</v>
      </c>
      <c r="M34" s="68">
        <f>'H-1 (1)(a)'!M34+'H-1 (1)(b)'!M34</f>
        <v>0</v>
      </c>
      <c r="N34" s="68">
        <f>'H-1 (1)(a)'!N34+'H-1 (1)(b)'!N34</f>
        <v>0</v>
      </c>
      <c r="O34" s="68">
        <f>'H-1 (1)(a)'!O34+'H-1 (1)(b)'!O34</f>
        <v>0</v>
      </c>
      <c r="P34" s="68">
        <f t="shared" si="5"/>
        <v>0</v>
      </c>
      <c r="Q34" s="68">
        <f>'H-1 (1)(a)'!Q34+'H-1 (1)(b)'!Q34</f>
        <v>0</v>
      </c>
      <c r="R34" s="68">
        <f t="shared" si="6"/>
        <v>0</v>
      </c>
      <c r="S34" s="68"/>
    </row>
    <row r="35" spans="1:19">
      <c r="A35" s="542">
        <f t="shared" si="4"/>
        <v>22</v>
      </c>
      <c r="B35" s="507" t="s">
        <v>158</v>
      </c>
      <c r="C35" s="508">
        <v>859</v>
      </c>
      <c r="D35" s="68">
        <f>'H-1 (1)(a)'!D35+'H-1 (1)(b)'!D35</f>
        <v>0</v>
      </c>
      <c r="E35" s="68">
        <f>'H-1 (1)(a)'!E35+'H-1 (1)(b)'!E35</f>
        <v>0</v>
      </c>
      <c r="F35" s="68">
        <f>'H-1 (1)(a)'!F35+'H-1 (1)(b)'!F35</f>
        <v>0</v>
      </c>
      <c r="G35" s="68">
        <f>'H-1 (1)(a)'!G35+'H-1 (1)(b)'!G35</f>
        <v>0</v>
      </c>
      <c r="H35" s="68">
        <f>'H-1 (1)(a)'!H35+'H-1 (1)(b)'!H35</f>
        <v>1698.08</v>
      </c>
      <c r="I35" s="68">
        <f>'H-1 (1)(a)'!I35+'H-1 (1)(b)'!I35</f>
        <v>-1698.0800000000004</v>
      </c>
      <c r="J35" s="68">
        <f>'H-1 (1)(a)'!J35+'H-1 (1)(b)'!J35</f>
        <v>7800.3600000000006</v>
      </c>
      <c r="K35" s="68">
        <f>'H-1 (1)(a)'!K35+'H-1 (1)(b)'!K35</f>
        <v>1036.55</v>
      </c>
      <c r="L35" s="68">
        <f>'H-1 (1)(a)'!L35+'H-1 (1)(b)'!L35</f>
        <v>-8836.91</v>
      </c>
      <c r="M35" s="68">
        <f>'H-1 (1)(a)'!M35+'H-1 (1)(b)'!M35</f>
        <v>2346.79</v>
      </c>
      <c r="N35" s="68">
        <f>'H-1 (1)(a)'!N35+'H-1 (1)(b)'!N35</f>
        <v>1.61</v>
      </c>
      <c r="O35" s="68">
        <f>'H-1 (1)(a)'!O35+'H-1 (1)(b)'!O35</f>
        <v>16551.95</v>
      </c>
      <c r="P35" s="68">
        <f t="shared" si="5"/>
        <v>18900.350000000002</v>
      </c>
      <c r="Q35" s="68">
        <f>'H-1 (1)(a)'!Q35+'H-1 (1)(b)'!Q35</f>
        <v>492.88</v>
      </c>
      <c r="R35" s="68">
        <f t="shared" si="6"/>
        <v>19393.230000000003</v>
      </c>
      <c r="S35" s="68"/>
    </row>
    <row r="36" spans="1:19">
      <c r="A36" s="542">
        <f t="shared" si="4"/>
        <v>23</v>
      </c>
      <c r="B36" s="507" t="s">
        <v>150</v>
      </c>
      <c r="C36" s="508">
        <v>860</v>
      </c>
      <c r="D36" s="68">
        <f>'H-1 (1)(a)'!D36+'H-1 (1)(b)'!D36</f>
        <v>0</v>
      </c>
      <c r="E36" s="68">
        <f>'H-1 (1)(a)'!E36+'H-1 (1)(b)'!E36</f>
        <v>0</v>
      </c>
      <c r="F36" s="68">
        <f>'H-1 (1)(a)'!F36+'H-1 (1)(b)'!F36</f>
        <v>0</v>
      </c>
      <c r="G36" s="68">
        <f>'H-1 (1)(a)'!G36+'H-1 (1)(b)'!G36</f>
        <v>2400</v>
      </c>
      <c r="H36" s="68">
        <f>'H-1 (1)(a)'!H36+'H-1 (1)(b)'!H36</f>
        <v>0</v>
      </c>
      <c r="I36" s="68">
        <f>'H-1 (1)(a)'!I36+'H-1 (1)(b)'!I36</f>
        <v>0</v>
      </c>
      <c r="J36" s="68">
        <f>'H-1 (1)(a)'!J36+'H-1 (1)(b)'!J36</f>
        <v>0</v>
      </c>
      <c r="K36" s="68">
        <f>'H-1 (1)(a)'!K36+'H-1 (1)(b)'!K36</f>
        <v>0</v>
      </c>
      <c r="L36" s="68">
        <f>'H-1 (1)(a)'!L36+'H-1 (1)(b)'!L36</f>
        <v>0</v>
      </c>
      <c r="M36" s="68">
        <f>'H-1 (1)(a)'!M36+'H-1 (1)(b)'!M36</f>
        <v>0</v>
      </c>
      <c r="N36" s="68">
        <f>'H-1 (1)(a)'!N36+'H-1 (1)(b)'!N36</f>
        <v>0</v>
      </c>
      <c r="O36" s="68">
        <f>'H-1 (1)(a)'!O36+'H-1 (1)(b)'!O36</f>
        <v>56712.3</v>
      </c>
      <c r="P36" s="68">
        <f t="shared" si="5"/>
        <v>59112.3</v>
      </c>
      <c r="Q36" s="68">
        <f>'H-1 (1)(a)'!Q36+'H-1 (1)(b)'!Q36</f>
        <v>0</v>
      </c>
      <c r="R36" s="68">
        <f t="shared" si="6"/>
        <v>59112.3</v>
      </c>
      <c r="S36" s="68"/>
    </row>
    <row r="37" spans="1:19" ht="13.5" thickBot="1">
      <c r="A37">
        <v>24</v>
      </c>
      <c r="C37" s="2"/>
      <c r="D37" s="69">
        <f>SUM(D26:D36)</f>
        <v>147424.99000000002</v>
      </c>
      <c r="E37" s="69">
        <f t="shared" ref="E37:R37" si="7">SUM(E26:E36)</f>
        <v>165201.70000000001</v>
      </c>
      <c r="F37" s="69">
        <f t="shared" si="7"/>
        <v>104360.05</v>
      </c>
      <c r="G37" s="69">
        <f t="shared" si="7"/>
        <v>155779.53</v>
      </c>
      <c r="H37" s="69">
        <f t="shared" si="7"/>
        <v>86565.83</v>
      </c>
      <c r="I37" s="69">
        <f t="shared" si="7"/>
        <v>134802.02000000002</v>
      </c>
      <c r="J37" s="69">
        <f t="shared" si="7"/>
        <v>133942.11000000002</v>
      </c>
      <c r="K37" s="69">
        <f t="shared" si="7"/>
        <v>88207.520000000019</v>
      </c>
      <c r="L37" s="69">
        <f t="shared" si="7"/>
        <v>67195.040000000008</v>
      </c>
      <c r="M37" s="69">
        <f t="shared" si="7"/>
        <v>70593.819999999992</v>
      </c>
      <c r="N37" s="69">
        <f t="shared" si="7"/>
        <v>87400.68</v>
      </c>
      <c r="O37" s="69">
        <f t="shared" si="7"/>
        <v>318835.34000000008</v>
      </c>
      <c r="P37" s="69">
        <f t="shared" si="7"/>
        <v>1560308.6300000001</v>
      </c>
      <c r="Q37" s="69">
        <f t="shared" si="7"/>
        <v>-353148.78120000003</v>
      </c>
      <c r="R37" s="69">
        <f t="shared" si="7"/>
        <v>1207159.8487999998</v>
      </c>
      <c r="S37" s="68"/>
    </row>
    <row r="38" spans="1:19" ht="13.5" thickTop="1">
      <c r="A38">
        <v>25</v>
      </c>
      <c r="B38" s="42" t="s">
        <v>136</v>
      </c>
      <c r="C38" s="2"/>
      <c r="D38" s="68"/>
      <c r="E38" s="68"/>
      <c r="F38" s="68"/>
      <c r="G38" s="68"/>
      <c r="H38" s="68"/>
      <c r="I38" s="68"/>
      <c r="J38" s="68"/>
      <c r="K38" s="68"/>
      <c r="L38" s="68"/>
      <c r="M38" s="68"/>
      <c r="N38" s="68"/>
      <c r="O38" s="68"/>
      <c r="P38" s="68"/>
      <c r="Q38" s="68"/>
      <c r="R38" s="68"/>
      <c r="S38" s="68"/>
    </row>
    <row r="39" spans="1:19">
      <c r="A39">
        <v>26</v>
      </c>
      <c r="B39" t="s">
        <v>183</v>
      </c>
      <c r="C39" s="2">
        <v>861</v>
      </c>
      <c r="D39" s="68">
        <f>'H-1 (1)(a)'!D39+'H-1 (1)(b)'!D39</f>
        <v>0</v>
      </c>
      <c r="E39" s="68">
        <f>'H-1 (1)(a)'!E39+'H-1 (1)(b)'!E39</f>
        <v>0</v>
      </c>
      <c r="F39" s="68">
        <f>'H-1 (1)(a)'!F39+'H-1 (1)(b)'!F39</f>
        <v>0</v>
      </c>
      <c r="G39" s="68">
        <f>'H-1 (1)(a)'!G39+'H-1 (1)(b)'!G39</f>
        <v>0</v>
      </c>
      <c r="H39" s="68">
        <f>'H-1 (1)(a)'!H39+'H-1 (1)(b)'!H39</f>
        <v>0</v>
      </c>
      <c r="I39" s="68">
        <f>'H-1 (1)(a)'!I39+'H-1 (1)(b)'!I39</f>
        <v>0</v>
      </c>
      <c r="J39" s="68">
        <f>'H-1 (1)(a)'!J39+'H-1 (1)(b)'!J39</f>
        <v>0</v>
      </c>
      <c r="K39" s="68">
        <f>'H-1 (1)(a)'!K39+'H-1 (1)(b)'!K39</f>
        <v>0</v>
      </c>
      <c r="L39" s="68">
        <f>'H-1 (1)(a)'!L39+'H-1 (1)(b)'!L39</f>
        <v>0</v>
      </c>
      <c r="M39" s="68">
        <f>'H-1 (1)(a)'!M39+'H-1 (1)(b)'!M39</f>
        <v>0</v>
      </c>
      <c r="N39" s="68">
        <f>'H-1 (1)(a)'!N39+'H-1 (1)(b)'!N39</f>
        <v>0</v>
      </c>
      <c r="O39" s="68">
        <f>'H-1 (1)(a)'!O39+'H-1 (1)(b)'!O39</f>
        <v>0</v>
      </c>
      <c r="P39" s="68">
        <f>SUM(D39:O39)</f>
        <v>0</v>
      </c>
      <c r="Q39" s="68">
        <v>0</v>
      </c>
      <c r="R39" s="68">
        <f t="shared" ref="R39:R45" si="8">+P39+Q39</f>
        <v>0</v>
      </c>
      <c r="S39" s="68"/>
    </row>
    <row r="40" spans="1:19">
      <c r="A40">
        <v>27</v>
      </c>
      <c r="B40" t="s">
        <v>184</v>
      </c>
      <c r="C40" s="2">
        <v>862</v>
      </c>
      <c r="D40" s="68">
        <f>'H-1 (1)(a)'!D40+'H-1 (1)(b)'!D40</f>
        <v>0</v>
      </c>
      <c r="E40" s="68">
        <f>'H-1 (1)(a)'!E40+'H-1 (1)(b)'!E40</f>
        <v>0</v>
      </c>
      <c r="F40" s="68">
        <f>'H-1 (1)(a)'!F40+'H-1 (1)(b)'!F40</f>
        <v>0</v>
      </c>
      <c r="G40" s="68">
        <f>'H-1 (1)(a)'!G40+'H-1 (1)(b)'!G40</f>
        <v>0</v>
      </c>
      <c r="H40" s="68">
        <f>'H-1 (1)(a)'!H40+'H-1 (1)(b)'!H40</f>
        <v>0</v>
      </c>
      <c r="I40" s="68">
        <f>'H-1 (1)(a)'!I40+'H-1 (1)(b)'!I40</f>
        <v>0</v>
      </c>
      <c r="J40" s="68">
        <f>'H-1 (1)(a)'!J40+'H-1 (1)(b)'!J40</f>
        <v>0</v>
      </c>
      <c r="K40" s="68">
        <f>'H-1 (1)(a)'!K40+'H-1 (1)(b)'!K40</f>
        <v>0</v>
      </c>
      <c r="L40" s="68">
        <f>'H-1 (1)(a)'!L40+'H-1 (1)(b)'!L40</f>
        <v>0</v>
      </c>
      <c r="M40" s="68">
        <f>'H-1 (1)(a)'!M40+'H-1 (1)(b)'!M40</f>
        <v>0</v>
      </c>
      <c r="N40" s="68">
        <f>'H-1 (1)(a)'!N40+'H-1 (1)(b)'!N40</f>
        <v>0</v>
      </c>
      <c r="O40" s="68">
        <f>'H-1 (1)(a)'!O40+'H-1 (1)(b)'!O40</f>
        <v>0</v>
      </c>
      <c r="P40" s="68">
        <f t="shared" ref="P40:P45" si="9">SUM(D40:O40)</f>
        <v>0</v>
      </c>
      <c r="Q40" s="68">
        <v>0</v>
      </c>
      <c r="R40" s="68">
        <f t="shared" si="8"/>
        <v>0</v>
      </c>
      <c r="S40" s="68"/>
    </row>
    <row r="41" spans="1:19">
      <c r="A41">
        <v>28</v>
      </c>
      <c r="B41" t="s">
        <v>185</v>
      </c>
      <c r="C41" s="2">
        <v>863</v>
      </c>
      <c r="D41" s="68">
        <f>'H-1 (1)(a)'!D41+'H-1 (1)(b)'!D41</f>
        <v>7072.8899999999994</v>
      </c>
      <c r="E41" s="68">
        <f>'H-1 (1)(a)'!E41+'H-1 (1)(b)'!E41</f>
        <v>23191.43</v>
      </c>
      <c r="F41" s="68">
        <f>'H-1 (1)(a)'!F41+'H-1 (1)(b)'!F41</f>
        <v>22760.680000000008</v>
      </c>
      <c r="G41" s="68">
        <f>'H-1 (1)(a)'!G41+'H-1 (1)(b)'!G41</f>
        <v>58419.730000000032</v>
      </c>
      <c r="H41" s="68">
        <f>'H-1 (1)(a)'!H41+'H-1 (1)(b)'!H41</f>
        <v>13806.229999999998</v>
      </c>
      <c r="I41" s="68">
        <f>'H-1 (1)(a)'!I41+'H-1 (1)(b)'!I41</f>
        <v>9967.3299999999981</v>
      </c>
      <c r="J41" s="68">
        <f>'H-1 (1)(a)'!J41+'H-1 (1)(b)'!J41</f>
        <v>30029.409999999996</v>
      </c>
      <c r="K41" s="68">
        <f>'H-1 (1)(a)'!K41+'H-1 (1)(b)'!K41</f>
        <v>38679.659999999989</v>
      </c>
      <c r="L41" s="68">
        <f>'H-1 (1)(a)'!L41+'H-1 (1)(b)'!L41</f>
        <v>45943.38</v>
      </c>
      <c r="M41" s="68">
        <f>'H-1 (1)(a)'!M41+'H-1 (1)(b)'!M41</f>
        <v>148857.60999999993</v>
      </c>
      <c r="N41" s="68">
        <f>'H-1 (1)(a)'!N41+'H-1 (1)(b)'!N41</f>
        <v>450305.0399999998</v>
      </c>
      <c r="O41" s="68">
        <f>'H-1 (1)(a)'!O41+'H-1 (1)(b)'!O41</f>
        <v>288159.81000000006</v>
      </c>
      <c r="P41" s="68">
        <f t="shared" si="9"/>
        <v>1137193.1999999997</v>
      </c>
      <c r="Q41" s="68">
        <f>'H-1 (1)(a)'!Q41+'H-1 (1)(b)'!Q41</f>
        <v>7888.7775000000001</v>
      </c>
      <c r="R41" s="68">
        <f t="shared" si="8"/>
        <v>1145081.9774999998</v>
      </c>
      <c r="S41" s="68"/>
    </row>
    <row r="42" spans="1:19">
      <c r="A42">
        <v>29</v>
      </c>
      <c r="B42" t="s">
        <v>186</v>
      </c>
      <c r="C42" s="2">
        <v>864</v>
      </c>
      <c r="D42" s="68">
        <f>'H-1 (1)(a)'!D42+'H-1 (1)(b)'!D42</f>
        <v>0</v>
      </c>
      <c r="E42" s="68">
        <f>'H-1 (1)(a)'!E42+'H-1 (1)(b)'!E42</f>
        <v>0</v>
      </c>
      <c r="F42" s="68">
        <f>'H-1 (1)(a)'!F42+'H-1 (1)(b)'!F42</f>
        <v>659.56</v>
      </c>
      <c r="G42" s="68">
        <f>'H-1 (1)(a)'!G42+'H-1 (1)(b)'!G42</f>
        <v>0</v>
      </c>
      <c r="H42" s="68">
        <f>'H-1 (1)(a)'!H42+'H-1 (1)(b)'!H42</f>
        <v>0</v>
      </c>
      <c r="I42" s="68">
        <f>'H-1 (1)(a)'!I42+'H-1 (1)(b)'!I42</f>
        <v>0</v>
      </c>
      <c r="J42" s="68">
        <f>'H-1 (1)(a)'!J42+'H-1 (1)(b)'!J42</f>
        <v>0</v>
      </c>
      <c r="K42" s="68">
        <f>'H-1 (1)(a)'!K42+'H-1 (1)(b)'!K42</f>
        <v>0</v>
      </c>
      <c r="L42" s="68">
        <f>'H-1 (1)(a)'!L42+'H-1 (1)(b)'!L42</f>
        <v>0</v>
      </c>
      <c r="M42" s="68">
        <f>'H-1 (1)(a)'!M42+'H-1 (1)(b)'!M42</f>
        <v>0</v>
      </c>
      <c r="N42" s="68">
        <f>'H-1 (1)(a)'!N42+'H-1 (1)(b)'!N42</f>
        <v>0</v>
      </c>
      <c r="O42" s="68">
        <f>'H-1 (1)(a)'!O42+'H-1 (1)(b)'!O42</f>
        <v>0</v>
      </c>
      <c r="P42" s="68">
        <f t="shared" si="9"/>
        <v>659.56</v>
      </c>
      <c r="Q42" s="68">
        <f>'H-1 (1)(a)'!Q42+'H-1 (1)(b)'!Q42</f>
        <v>19.786799999999996</v>
      </c>
      <c r="R42" s="68">
        <f t="shared" si="8"/>
        <v>679.34679999999992</v>
      </c>
      <c r="S42" s="68"/>
    </row>
    <row r="43" spans="1:19">
      <c r="A43">
        <v>30</v>
      </c>
      <c r="B43" t="s">
        <v>187</v>
      </c>
      <c r="C43" s="2">
        <v>865</v>
      </c>
      <c r="D43" s="68">
        <f>'H-1 (1)(a)'!D43+'H-1 (1)(b)'!D43</f>
        <v>0</v>
      </c>
      <c r="E43" s="68">
        <f>'H-1 (1)(a)'!E43+'H-1 (1)(b)'!E43</f>
        <v>0</v>
      </c>
      <c r="F43" s="68">
        <f>'H-1 (1)(a)'!F43+'H-1 (1)(b)'!F43</f>
        <v>0</v>
      </c>
      <c r="G43" s="68">
        <f>'H-1 (1)(a)'!G43+'H-1 (1)(b)'!G43</f>
        <v>0</v>
      </c>
      <c r="H43" s="68">
        <f>'H-1 (1)(a)'!H43+'H-1 (1)(b)'!H43</f>
        <v>0</v>
      </c>
      <c r="I43" s="68">
        <f>'H-1 (1)(a)'!I43+'H-1 (1)(b)'!I43</f>
        <v>0</v>
      </c>
      <c r="J43" s="68">
        <f>'H-1 (1)(a)'!J43+'H-1 (1)(b)'!J43</f>
        <v>0</v>
      </c>
      <c r="K43" s="68">
        <f>'H-1 (1)(a)'!K43+'H-1 (1)(b)'!K43</f>
        <v>0</v>
      </c>
      <c r="L43" s="68">
        <f>'H-1 (1)(a)'!L43+'H-1 (1)(b)'!L43</f>
        <v>0</v>
      </c>
      <c r="M43" s="68">
        <f>'H-1 (1)(a)'!M43+'H-1 (1)(b)'!M43</f>
        <v>0</v>
      </c>
      <c r="N43" s="68">
        <f>'H-1 (1)(a)'!N43+'H-1 (1)(b)'!N43</f>
        <v>0</v>
      </c>
      <c r="O43" s="68">
        <f>'H-1 (1)(a)'!O43+'H-1 (1)(b)'!O43</f>
        <v>0</v>
      </c>
      <c r="P43" s="68">
        <f t="shared" si="9"/>
        <v>0</v>
      </c>
      <c r="Q43" s="68">
        <f>'H-1 (1)(a)'!Q43+'H-1 (1)(b)'!Q43</f>
        <v>0</v>
      </c>
      <c r="R43" s="68">
        <f t="shared" si="8"/>
        <v>0</v>
      </c>
      <c r="S43" s="68"/>
    </row>
    <row r="44" spans="1:19">
      <c r="A44">
        <v>31</v>
      </c>
      <c r="B44" t="s">
        <v>189</v>
      </c>
      <c r="C44" s="2">
        <v>866</v>
      </c>
      <c r="D44" s="68">
        <f>'H-1 (1)(a)'!D44+'H-1 (1)(b)'!D44</f>
        <v>0</v>
      </c>
      <c r="E44" s="68">
        <f>'H-1 (1)(a)'!E44+'H-1 (1)(b)'!E44</f>
        <v>0</v>
      </c>
      <c r="F44" s="68">
        <f>'H-1 (1)(a)'!F44+'H-1 (1)(b)'!F44</f>
        <v>0</v>
      </c>
      <c r="G44" s="68">
        <f>'H-1 (1)(a)'!G44+'H-1 (1)(b)'!G44</f>
        <v>0</v>
      </c>
      <c r="H44" s="68">
        <f>'H-1 (1)(a)'!H44+'H-1 (1)(b)'!H44</f>
        <v>0</v>
      </c>
      <c r="I44" s="68">
        <f>'H-1 (1)(a)'!I44+'H-1 (1)(b)'!I44</f>
        <v>0</v>
      </c>
      <c r="J44" s="68">
        <f>'H-1 (1)(a)'!J44+'H-1 (1)(b)'!J44</f>
        <v>0</v>
      </c>
      <c r="K44" s="68">
        <f>'H-1 (1)(a)'!K44+'H-1 (1)(b)'!K44</f>
        <v>0</v>
      </c>
      <c r="L44" s="68">
        <f>'H-1 (1)(a)'!L44+'H-1 (1)(b)'!L44</f>
        <v>0</v>
      </c>
      <c r="M44" s="68">
        <f>'H-1 (1)(a)'!M44+'H-1 (1)(b)'!M44</f>
        <v>0</v>
      </c>
      <c r="N44" s="68">
        <f>'H-1 (1)(a)'!N44+'H-1 (1)(b)'!N44</f>
        <v>0</v>
      </c>
      <c r="O44" s="68">
        <f>'H-1 (1)(a)'!O44+'H-1 (1)(b)'!O44</f>
        <v>0</v>
      </c>
      <c r="P44" s="68">
        <f t="shared" si="9"/>
        <v>0</v>
      </c>
      <c r="Q44" s="68">
        <f>'H-1 (1)(a)'!Q44+'H-1 (1)(b)'!Q44</f>
        <v>0</v>
      </c>
      <c r="R44" s="68">
        <f t="shared" si="8"/>
        <v>0</v>
      </c>
      <c r="S44" s="68"/>
    </row>
    <row r="45" spans="1:19">
      <c r="A45">
        <v>32</v>
      </c>
      <c r="B45" t="s">
        <v>188</v>
      </c>
      <c r="C45" s="2">
        <v>867</v>
      </c>
      <c r="D45" s="68">
        <f>'H-1 (1)(a)'!D45+'H-1 (1)(b)'!D45</f>
        <v>0</v>
      </c>
      <c r="E45" s="68">
        <f>'H-1 (1)(a)'!E45+'H-1 (1)(b)'!E45</f>
        <v>0</v>
      </c>
      <c r="F45" s="68">
        <f>'H-1 (1)(a)'!F45+'H-1 (1)(b)'!F45</f>
        <v>0</v>
      </c>
      <c r="G45" s="68">
        <f>'H-1 (1)(a)'!G45+'H-1 (1)(b)'!G45</f>
        <v>0</v>
      </c>
      <c r="H45" s="68">
        <f>'H-1 (1)(a)'!H45+'H-1 (1)(b)'!H45</f>
        <v>0</v>
      </c>
      <c r="I45" s="68">
        <f>'H-1 (1)(a)'!I45+'H-1 (1)(b)'!I45</f>
        <v>0</v>
      </c>
      <c r="J45" s="68">
        <f>'H-1 (1)(a)'!J45+'H-1 (1)(b)'!J45</f>
        <v>0</v>
      </c>
      <c r="K45" s="68">
        <f>'H-1 (1)(a)'!K45+'H-1 (1)(b)'!K45</f>
        <v>0</v>
      </c>
      <c r="L45" s="68">
        <f>'H-1 (1)(a)'!L45+'H-1 (1)(b)'!L45</f>
        <v>0</v>
      </c>
      <c r="M45" s="68">
        <f>'H-1 (1)(a)'!M45+'H-1 (1)(b)'!M45</f>
        <v>0</v>
      </c>
      <c r="N45" s="68">
        <f>'H-1 (1)(a)'!N45+'H-1 (1)(b)'!N45</f>
        <v>0</v>
      </c>
      <c r="O45" s="68">
        <f>'H-1 (1)(a)'!O45+'H-1 (1)(b)'!O45</f>
        <v>0</v>
      </c>
      <c r="P45" s="68">
        <f t="shared" si="9"/>
        <v>0</v>
      </c>
      <c r="Q45" s="68">
        <f>'H-1 (1)(a)'!Q45+'H-1 (1)(b)'!Q45</f>
        <v>0</v>
      </c>
      <c r="R45" s="68">
        <f t="shared" si="8"/>
        <v>0</v>
      </c>
      <c r="S45" s="68"/>
    </row>
    <row r="46" spans="1:19" ht="13.5" thickBot="1">
      <c r="A46">
        <v>33</v>
      </c>
      <c r="C46" s="2"/>
      <c r="D46" s="69">
        <f>SUM(D39:D45)</f>
        <v>7072.8899999999994</v>
      </c>
      <c r="E46" s="69">
        <f t="shared" ref="E46:R46" si="10">SUM(E39:E45)</f>
        <v>23191.43</v>
      </c>
      <c r="F46" s="69">
        <f t="shared" si="10"/>
        <v>23420.240000000009</v>
      </c>
      <c r="G46" s="69">
        <f t="shared" si="10"/>
        <v>58419.730000000032</v>
      </c>
      <c r="H46" s="69">
        <f t="shared" si="10"/>
        <v>13806.229999999998</v>
      </c>
      <c r="I46" s="69">
        <f t="shared" si="10"/>
        <v>9967.3299999999981</v>
      </c>
      <c r="J46" s="69">
        <f t="shared" si="10"/>
        <v>30029.409999999996</v>
      </c>
      <c r="K46" s="69">
        <f t="shared" si="10"/>
        <v>38679.659999999989</v>
      </c>
      <c r="L46" s="69">
        <f t="shared" si="10"/>
        <v>45943.38</v>
      </c>
      <c r="M46" s="69">
        <f t="shared" si="10"/>
        <v>148857.60999999993</v>
      </c>
      <c r="N46" s="69">
        <f t="shared" si="10"/>
        <v>450305.0399999998</v>
      </c>
      <c r="O46" s="69">
        <f t="shared" si="10"/>
        <v>288159.81000000006</v>
      </c>
      <c r="P46" s="69">
        <f t="shared" si="10"/>
        <v>1137852.7599999998</v>
      </c>
      <c r="Q46" s="69">
        <f t="shared" si="10"/>
        <v>7908.5643</v>
      </c>
      <c r="R46" s="69">
        <f t="shared" si="10"/>
        <v>1145761.3242999997</v>
      </c>
      <c r="S46" s="68"/>
    </row>
    <row r="47" spans="1:19" ht="13.5" thickTop="1">
      <c r="B47" s="42"/>
      <c r="C47" s="2"/>
      <c r="D47" s="68"/>
      <c r="E47" s="68"/>
      <c r="F47" s="68"/>
      <c r="G47" s="68"/>
      <c r="H47" s="68"/>
      <c r="I47" s="68"/>
      <c r="J47" s="68"/>
      <c r="K47" s="68"/>
      <c r="L47" s="68"/>
      <c r="M47" s="68"/>
      <c r="N47" s="68"/>
      <c r="O47" s="68"/>
      <c r="P47" s="68"/>
      <c r="Q47" s="68"/>
      <c r="R47" s="68"/>
      <c r="S47" s="68"/>
    </row>
    <row r="48" spans="1:19" ht="13.5" thickBot="1">
      <c r="A48">
        <v>34</v>
      </c>
      <c r="B48" s="42" t="s">
        <v>138</v>
      </c>
      <c r="C48" s="2"/>
      <c r="D48" s="69">
        <f>D37+D46</f>
        <v>154497.88</v>
      </c>
      <c r="E48" s="69">
        <f t="shared" ref="E48:O48" si="11">E37+E46</f>
        <v>188393.13</v>
      </c>
      <c r="F48" s="69">
        <f t="shared" si="11"/>
        <v>127780.29000000001</v>
      </c>
      <c r="G48" s="69">
        <f t="shared" si="11"/>
        <v>214199.26000000004</v>
      </c>
      <c r="H48" s="69">
        <f t="shared" si="11"/>
        <v>100372.06</v>
      </c>
      <c r="I48" s="69">
        <f t="shared" si="11"/>
        <v>144769.35</v>
      </c>
      <c r="J48" s="69">
        <f t="shared" si="11"/>
        <v>163971.52000000002</v>
      </c>
      <c r="K48" s="69">
        <f t="shared" si="11"/>
        <v>126887.18000000001</v>
      </c>
      <c r="L48" s="69">
        <f>L37+L46</f>
        <v>113138.42000000001</v>
      </c>
      <c r="M48" s="69">
        <f t="shared" si="11"/>
        <v>219451.42999999993</v>
      </c>
      <c r="N48" s="69">
        <f t="shared" si="11"/>
        <v>537705.71999999974</v>
      </c>
      <c r="O48" s="69">
        <f t="shared" si="11"/>
        <v>606995.15000000014</v>
      </c>
      <c r="P48" s="69">
        <f>P37+P46</f>
        <v>2698161.3899999997</v>
      </c>
      <c r="Q48" s="69">
        <f>Q37+Q46</f>
        <v>-345240.2169</v>
      </c>
      <c r="R48" s="69">
        <f>R37+R46</f>
        <v>2352921.1730999993</v>
      </c>
      <c r="S48" s="68"/>
    </row>
    <row r="49" spans="1:20" ht="13.5" thickTop="1">
      <c r="B49" s="42"/>
      <c r="C49" s="497"/>
      <c r="D49" s="127"/>
      <c r="E49" s="127"/>
      <c r="F49" s="127"/>
      <c r="G49" s="127"/>
      <c r="H49" s="127"/>
      <c r="I49" s="127"/>
      <c r="J49" s="127"/>
      <c r="K49" s="127"/>
      <c r="L49" s="127"/>
      <c r="M49" s="127"/>
      <c r="N49" s="127"/>
      <c r="O49" s="127"/>
      <c r="P49" s="127"/>
      <c r="Q49" s="127"/>
      <c r="R49" s="127"/>
      <c r="S49" s="68"/>
    </row>
    <row r="50" spans="1:20">
      <c r="A50">
        <v>35</v>
      </c>
      <c r="B50" s="42" t="s">
        <v>139</v>
      </c>
      <c r="C50" s="2"/>
      <c r="D50" s="68"/>
      <c r="E50" s="68"/>
      <c r="F50" s="68"/>
      <c r="G50" s="68"/>
      <c r="H50" s="68"/>
      <c r="I50" s="68"/>
      <c r="J50" s="68"/>
      <c r="K50" s="68"/>
      <c r="L50" s="68"/>
      <c r="M50" s="68"/>
      <c r="N50" s="68"/>
      <c r="O50" s="68"/>
      <c r="P50" s="68"/>
      <c r="Q50" s="68"/>
      <c r="R50" s="68"/>
      <c r="S50" s="68"/>
    </row>
    <row r="51" spans="1:20">
      <c r="A51">
        <v>36</v>
      </c>
      <c r="B51" t="s">
        <v>140</v>
      </c>
      <c r="C51" s="2">
        <v>904</v>
      </c>
      <c r="D51" s="68">
        <f>'H-1 (1)(a)'!D51+'H-1 (1)(b)'!D51</f>
        <v>0</v>
      </c>
      <c r="E51" s="68">
        <f>'H-1 (1)(a)'!E51+'H-1 (1)(b)'!E51</f>
        <v>0</v>
      </c>
      <c r="F51" s="68">
        <f>'H-1 (1)(a)'!F51+'H-1 (1)(b)'!F51</f>
        <v>0</v>
      </c>
      <c r="G51" s="68">
        <f>'H-1 (1)(a)'!G51+'H-1 (1)(b)'!G51</f>
        <v>0</v>
      </c>
      <c r="H51" s="68">
        <f>'H-1 (1)(a)'!H51+'H-1 (1)(b)'!H51</f>
        <v>0</v>
      </c>
      <c r="I51" s="68">
        <f>'H-1 (1)(a)'!I51+'H-1 (1)(b)'!I51</f>
        <v>0</v>
      </c>
      <c r="J51" s="68">
        <f>'H-1 (1)(a)'!J51+'H-1 (1)(b)'!J51</f>
        <v>0</v>
      </c>
      <c r="K51" s="68">
        <f>'H-1 (1)(a)'!K51+'H-1 (1)(b)'!K51</f>
        <v>0</v>
      </c>
      <c r="L51" s="68">
        <f>'H-1 (1)(a)'!L51+'H-1 (1)(b)'!L51</f>
        <v>0</v>
      </c>
      <c r="M51" s="68">
        <f>'H-1 (1)(a)'!M51+'H-1 (1)(b)'!M51</f>
        <v>0</v>
      </c>
      <c r="N51" s="68">
        <f>'H-1 (1)(a)'!N51+'H-1 (1)(b)'!N51</f>
        <v>0</v>
      </c>
      <c r="O51" s="68">
        <f>'H-1 (1)(a)'!O51+'H-1 (1)(b)'!O51</f>
        <v>0</v>
      </c>
      <c r="P51" s="68">
        <f>SUM(D51:O51)</f>
        <v>0</v>
      </c>
      <c r="Q51" s="68">
        <f>'H-1 (1)(a)'!Q51+'H-1 (1)(b)'!Q51</f>
        <v>0</v>
      </c>
      <c r="R51" s="68">
        <f t="shared" ref="R51:R63" si="12">+P51+Q51</f>
        <v>0</v>
      </c>
      <c r="S51" s="68"/>
    </row>
    <row r="52" spans="1:20">
      <c r="A52">
        <v>37</v>
      </c>
      <c r="B52" t="s">
        <v>141</v>
      </c>
      <c r="C52" s="2">
        <v>920</v>
      </c>
      <c r="D52" s="68">
        <f>'H-1 (1)(a)'!D52+'H-1 (1)(b)'!D52</f>
        <v>0</v>
      </c>
      <c r="E52" s="68">
        <f>'H-1 (1)(a)'!E52+'H-1 (1)(b)'!E52</f>
        <v>0</v>
      </c>
      <c r="F52" s="68">
        <f>'H-1 (1)(a)'!F52+'H-1 (1)(b)'!F52</f>
        <v>0</v>
      </c>
      <c r="G52" s="68">
        <f>'H-1 (1)(a)'!G52+'H-1 (1)(b)'!G52</f>
        <v>0</v>
      </c>
      <c r="H52" s="68">
        <f>'H-1 (1)(a)'!H52+'H-1 (1)(b)'!H52</f>
        <v>0</v>
      </c>
      <c r="I52" s="68">
        <f>'H-1 (1)(a)'!I52+'H-1 (1)(b)'!I52</f>
        <v>0</v>
      </c>
      <c r="J52" s="68">
        <f>'H-1 (1)(a)'!J52+'H-1 (1)(b)'!J52</f>
        <v>0</v>
      </c>
      <c r="K52" s="68">
        <f>'H-1 (1)(a)'!K52+'H-1 (1)(b)'!K52</f>
        <v>0</v>
      </c>
      <c r="L52" s="68">
        <f>'H-1 (1)(a)'!L52+'H-1 (1)(b)'!L52</f>
        <v>0</v>
      </c>
      <c r="M52" s="68">
        <f>'H-1 (1)(a)'!M52+'H-1 (1)(b)'!M52</f>
        <v>0</v>
      </c>
      <c r="N52" s="68">
        <f>'H-1 (1)(a)'!N52+'H-1 (1)(b)'!N52</f>
        <v>0</v>
      </c>
      <c r="O52" s="68">
        <f>'H-1 (1)(a)'!O52+'H-1 (1)(b)'!O52</f>
        <v>0</v>
      </c>
      <c r="P52" s="68">
        <f t="shared" ref="P52:P63" si="13">SUM(D52:O52)</f>
        <v>0</v>
      </c>
      <c r="Q52" s="68">
        <f>'H-1 (1)(a)'!Q52+'H-1 (1)(b)'!Q52</f>
        <v>0</v>
      </c>
      <c r="R52" s="68">
        <f t="shared" si="12"/>
        <v>0</v>
      </c>
      <c r="S52" s="68"/>
    </row>
    <row r="53" spans="1:20">
      <c r="A53">
        <v>38</v>
      </c>
      <c r="B53" t="s">
        <v>142</v>
      </c>
      <c r="C53" s="2">
        <v>921</v>
      </c>
      <c r="D53" s="68">
        <f>'H-1 (1)(a)'!D53+'H-1 (1)(b)'!D53</f>
        <v>0</v>
      </c>
      <c r="E53" s="68">
        <f>'H-1 (1)(a)'!E53+'H-1 (1)(b)'!E53</f>
        <v>0</v>
      </c>
      <c r="F53" s="68">
        <f>'H-1 (1)(a)'!F53+'H-1 (1)(b)'!F53</f>
        <v>0</v>
      </c>
      <c r="G53" s="68">
        <f>'H-1 (1)(a)'!G53+'H-1 (1)(b)'!G53</f>
        <v>0</v>
      </c>
      <c r="H53" s="68">
        <f>'H-1 (1)(a)'!H53+'H-1 (1)(b)'!H53</f>
        <v>0</v>
      </c>
      <c r="I53" s="68">
        <f>'H-1 (1)(a)'!I53+'H-1 (1)(b)'!I53</f>
        <v>0</v>
      </c>
      <c r="J53" s="68">
        <f>'H-1 (1)(a)'!J53+'H-1 (1)(b)'!J53</f>
        <v>0</v>
      </c>
      <c r="K53" s="68">
        <f>'H-1 (1)(a)'!K53+'H-1 (1)(b)'!K53</f>
        <v>0</v>
      </c>
      <c r="L53" s="68">
        <f>'H-1 (1)(a)'!L53+'H-1 (1)(b)'!L53</f>
        <v>0</v>
      </c>
      <c r="M53" s="68">
        <f>'H-1 (1)(a)'!M53+'H-1 (1)(b)'!M53</f>
        <v>0</v>
      </c>
      <c r="N53" s="68">
        <f>'H-1 (1)(a)'!N53+'H-1 (1)(b)'!N53</f>
        <v>0</v>
      </c>
      <c r="O53" s="68">
        <f>'H-1 (1)(a)'!O53+'H-1 (1)(b)'!O53</f>
        <v>0</v>
      </c>
      <c r="P53" s="68">
        <f t="shared" si="13"/>
        <v>0</v>
      </c>
      <c r="Q53" s="68">
        <f>'H-1 (1)(a)'!Q53+'H-1 (1)(b)'!Q53</f>
        <v>0</v>
      </c>
      <c r="R53" s="68">
        <f t="shared" si="12"/>
        <v>0</v>
      </c>
      <c r="S53" s="68"/>
    </row>
    <row r="54" spans="1:20" s="72" customFormat="1">
      <c r="A54">
        <v>39</v>
      </c>
      <c r="B54" s="72" t="s">
        <v>143</v>
      </c>
      <c r="C54" s="132">
        <v>922</v>
      </c>
      <c r="D54" s="106">
        <f>'H-1 (1)(a)'!D54+'H-1 (1)(b)'!D54</f>
        <v>0</v>
      </c>
      <c r="E54" s="106">
        <f>'H-1 (1)(a)'!E54+'H-1 (1)(b)'!E54</f>
        <v>0</v>
      </c>
      <c r="F54" s="106">
        <f>'H-1 (1)(a)'!F54+'H-1 (1)(b)'!F54</f>
        <v>0</v>
      </c>
      <c r="G54" s="106">
        <f>'H-1 (1)(a)'!G54+'H-1 (1)(b)'!G54</f>
        <v>0</v>
      </c>
      <c r="H54" s="106">
        <f>'H-1 (1)(a)'!H54+'H-1 (1)(b)'!H54</f>
        <v>0</v>
      </c>
      <c r="I54" s="106">
        <f>'H-1 (1)(a)'!I54+'H-1 (1)(b)'!I54</f>
        <v>0</v>
      </c>
      <c r="J54" s="106">
        <f>'H-1 (1)(a)'!J54+'H-1 (1)(b)'!J54</f>
        <v>0</v>
      </c>
      <c r="K54" s="106">
        <f>'H-1 (1)(a)'!K54+'H-1 (1)(b)'!K54</f>
        <v>0</v>
      </c>
      <c r="L54" s="106">
        <f>'H-1 (1)(a)'!L54+'H-1 (1)(b)'!L54</f>
        <v>0</v>
      </c>
      <c r="M54" s="106">
        <f>'H-1 (1)(a)'!M54+'H-1 (1)(b)'!M54</f>
        <v>0</v>
      </c>
      <c r="N54" s="106">
        <f>'H-1 (1)(a)'!N54+'H-1 (1)(b)'!N54</f>
        <v>0</v>
      </c>
      <c r="O54" s="106">
        <f>'H-1 (1)(a)'!O54+'H-1 (1)(b)'!O54</f>
        <v>0</v>
      </c>
      <c r="P54" s="106">
        <f t="shared" si="13"/>
        <v>0</v>
      </c>
      <c r="Q54" s="68">
        <f>'H-1 (1)(a)'!Q54+'H-1 (1)(b)'!Q54</f>
        <v>0</v>
      </c>
      <c r="R54" s="106">
        <f t="shared" si="12"/>
        <v>0</v>
      </c>
      <c r="S54" s="106"/>
    </row>
    <row r="55" spans="1:20" s="72" customFormat="1">
      <c r="A55">
        <v>40</v>
      </c>
      <c r="B55" s="72" t="s">
        <v>144</v>
      </c>
      <c r="C55" s="132">
        <v>923</v>
      </c>
      <c r="D55" s="106">
        <f>'H-1 (1)(a)'!D55+'H-1 (1)(b)'!D55</f>
        <v>260369.73999999996</v>
      </c>
      <c r="E55" s="106">
        <f>'H-1 (1)(a)'!E55+'H-1 (1)(b)'!E55</f>
        <v>244088.67999999976</v>
      </c>
      <c r="F55" s="106">
        <f>'H-1 (1)(a)'!F55+'H-1 (1)(b)'!F55</f>
        <v>190084.8799999998</v>
      </c>
      <c r="G55" s="106">
        <f>'H-1 (1)(a)'!G55+'H-1 (1)(b)'!G55</f>
        <v>263792.40999999986</v>
      </c>
      <c r="H55" s="106">
        <f>'H-1 (1)(a)'!H55+'H-1 (1)(b)'!H55</f>
        <v>380124.21999999939</v>
      </c>
      <c r="I55" s="106">
        <f>'H-1 (1)(a)'!I55+'H-1 (1)(b)'!I55</f>
        <v>252888.19999999992</v>
      </c>
      <c r="J55" s="106">
        <f>'H-1 (1)(a)'!J55+'H-1 (1)(b)'!J55</f>
        <v>318880.98999999987</v>
      </c>
      <c r="K55" s="106">
        <f>'H-1 (1)(a)'!K55+'H-1 (1)(b)'!K55</f>
        <v>239248.50000000017</v>
      </c>
      <c r="L55" s="106">
        <f>'H-1 (1)(a)'!L55+'H-1 (1)(b)'!L55</f>
        <v>267959.55</v>
      </c>
      <c r="M55" s="106">
        <f>'H-1 (1)(a)'!M55+'H-1 (1)(b)'!M55</f>
        <v>282682.74000000022</v>
      </c>
      <c r="N55" s="106">
        <f>'H-1 (1)(a)'!N55+'H-1 (1)(b)'!N55</f>
        <v>369968.05999999971</v>
      </c>
      <c r="O55" s="106">
        <f>'H-1 (1)(a)'!O55+'H-1 (1)(b)'!O55</f>
        <v>260928.05000000016</v>
      </c>
      <c r="P55" s="106">
        <f t="shared" si="13"/>
        <v>3331016.0199999986</v>
      </c>
      <c r="Q55" s="68">
        <f>'H-1 (1)(a)'!Q55+'H-1 (1)(b)'!Q55</f>
        <v>197438.59333899998</v>
      </c>
      <c r="R55" s="106">
        <f t="shared" si="12"/>
        <v>3528454.6133389985</v>
      </c>
      <c r="S55" s="106"/>
    </row>
    <row r="56" spans="1:20" s="72" customFormat="1">
      <c r="A56">
        <v>41</v>
      </c>
      <c r="B56" s="72" t="s">
        <v>145</v>
      </c>
      <c r="C56" s="132">
        <v>924</v>
      </c>
      <c r="D56" s="106">
        <f>'H-1 (1)(a)'!D56+'H-1 (1)(b)'!D56</f>
        <v>2214.33</v>
      </c>
      <c r="E56" s="106">
        <f>'H-1 (1)(a)'!E56+'H-1 (1)(b)'!E56</f>
        <v>2214.33</v>
      </c>
      <c r="F56" s="106">
        <f>'H-1 (1)(a)'!F56+'H-1 (1)(b)'!F56</f>
        <v>2214.33</v>
      </c>
      <c r="G56" s="106">
        <f>'H-1 (1)(a)'!G56+'H-1 (1)(b)'!G56</f>
        <v>2214.33</v>
      </c>
      <c r="H56" s="106">
        <f>'H-1 (1)(a)'!H56+'H-1 (1)(b)'!H56</f>
        <v>2214.3200000000002</v>
      </c>
      <c r="I56" s="106">
        <f>'H-1 (1)(a)'!I56+'H-1 (1)(b)'!I56</f>
        <v>2264.42</v>
      </c>
      <c r="J56" s="106">
        <f>'H-1 (1)(a)'!J56+'H-1 (1)(b)'!J56</f>
        <v>2264.42</v>
      </c>
      <c r="K56" s="106">
        <f>'H-1 (1)(a)'!K56+'H-1 (1)(b)'!K56</f>
        <v>2264.42</v>
      </c>
      <c r="L56" s="106">
        <f>'H-1 (1)(a)'!L56+'H-1 (1)(b)'!L56</f>
        <v>2264.42</v>
      </c>
      <c r="M56" s="106">
        <f>'H-1 (1)(a)'!M56+'H-1 (1)(b)'!M56</f>
        <v>2264.42</v>
      </c>
      <c r="N56" s="106">
        <f>'H-1 (1)(a)'!N56+'H-1 (1)(b)'!N56</f>
        <v>2264.42</v>
      </c>
      <c r="O56" s="106">
        <f>'H-1 (1)(a)'!O56+'H-1 (1)(b)'!O56</f>
        <v>2264.42</v>
      </c>
      <c r="P56" s="106">
        <f t="shared" si="13"/>
        <v>26922.579999999994</v>
      </c>
      <c r="Q56" s="68">
        <f>'H-1 (1)(a)'!Q56+'H-1 (1)(b)'!Q56</f>
        <v>0</v>
      </c>
      <c r="R56" s="106">
        <f t="shared" si="12"/>
        <v>26922.579999999994</v>
      </c>
      <c r="S56" s="106"/>
    </row>
    <row r="57" spans="1:20" s="72" customFormat="1">
      <c r="A57">
        <v>42</v>
      </c>
      <c r="B57" s="72" t="s">
        <v>146</v>
      </c>
      <c r="C57" s="132">
        <v>925</v>
      </c>
      <c r="D57" s="106">
        <f>'H-1 (1)(a)'!D57+'H-1 (1)(b)'!D57</f>
        <v>4368.59</v>
      </c>
      <c r="E57" s="106">
        <f>'H-1 (1)(a)'!E57+'H-1 (1)(b)'!E57</f>
        <v>4368.59</v>
      </c>
      <c r="F57" s="106">
        <f>'H-1 (1)(a)'!F57+'H-1 (1)(b)'!F57</f>
        <v>4368.59</v>
      </c>
      <c r="G57" s="106">
        <f>'H-1 (1)(a)'!G57+'H-1 (1)(b)'!G57</f>
        <v>4368.59</v>
      </c>
      <c r="H57" s="106">
        <f>'H-1 (1)(a)'!H57+'H-1 (1)(b)'!H57</f>
        <v>4368.59</v>
      </c>
      <c r="I57" s="106">
        <f>'H-1 (1)(a)'!I57+'H-1 (1)(b)'!I57</f>
        <v>6637.21</v>
      </c>
      <c r="J57" s="106">
        <f>'H-1 (1)(a)'!J57+'H-1 (1)(b)'!J57</f>
        <v>4363.1000000000004</v>
      </c>
      <c r="K57" s="106">
        <f>'H-1 (1)(a)'!K57+'H-1 (1)(b)'!K57</f>
        <v>4363.1000000000004</v>
      </c>
      <c r="L57" s="106">
        <f>'H-1 (1)(a)'!L57+'H-1 (1)(b)'!L57</f>
        <v>4363.1000000000004</v>
      </c>
      <c r="M57" s="106">
        <f>'H-1 (1)(a)'!M57+'H-1 (1)(b)'!M57</f>
        <v>4558.1000000000004</v>
      </c>
      <c r="N57" s="106">
        <f>'H-1 (1)(a)'!N57+'H-1 (1)(b)'!N57</f>
        <v>4363.1000000000004</v>
      </c>
      <c r="O57" s="106">
        <f>'H-1 (1)(a)'!O57+'H-1 (1)(b)'!O57</f>
        <v>4363.1000000000004</v>
      </c>
      <c r="P57" s="106">
        <f t="shared" si="13"/>
        <v>54853.759999999995</v>
      </c>
      <c r="Q57" s="68">
        <f>'H-1 (1)(a)'!Q57+'H-1 (1)(b)'!Q57</f>
        <v>400000</v>
      </c>
      <c r="R57" s="106">
        <f t="shared" si="12"/>
        <v>454853.76</v>
      </c>
      <c r="S57" s="106"/>
    </row>
    <row r="58" spans="1:20" s="72" customFormat="1">
      <c r="A58">
        <v>43</v>
      </c>
      <c r="B58" s="72" t="s">
        <v>147</v>
      </c>
      <c r="C58" s="132">
        <v>926</v>
      </c>
      <c r="D58" s="106">
        <f>'H-1 (1)(a)'!D58+'H-1 (1)(b)'!D58</f>
        <v>0</v>
      </c>
      <c r="E58" s="106">
        <f>'H-1 (1)(a)'!E58+'H-1 (1)(b)'!E58</f>
        <v>0</v>
      </c>
      <c r="F58" s="106">
        <f>'H-1 (1)(a)'!F58+'H-1 (1)(b)'!F58</f>
        <v>0</v>
      </c>
      <c r="G58" s="106">
        <f>'H-1 (1)(a)'!G58+'H-1 (1)(b)'!G58</f>
        <v>0</v>
      </c>
      <c r="H58" s="106">
        <f>'H-1 (1)(a)'!H58+'H-1 (1)(b)'!H58</f>
        <v>0</v>
      </c>
      <c r="I58" s="106">
        <f>'H-1 (1)(a)'!I58+'H-1 (1)(b)'!I58</f>
        <v>0</v>
      </c>
      <c r="J58" s="106">
        <f>'H-1 (1)(a)'!J58+'H-1 (1)(b)'!J58</f>
        <v>0</v>
      </c>
      <c r="K58" s="106">
        <f>'H-1 (1)(a)'!K58+'H-1 (1)(b)'!K58</f>
        <v>0</v>
      </c>
      <c r="L58" s="106">
        <f>'H-1 (1)(a)'!L58+'H-1 (1)(b)'!L58</f>
        <v>0</v>
      </c>
      <c r="M58" s="106">
        <f>'H-1 (1)(a)'!M58+'H-1 (1)(b)'!M58</f>
        <v>0</v>
      </c>
      <c r="N58" s="106">
        <f>'H-1 (1)(a)'!N58+'H-1 (1)(b)'!N58</f>
        <v>0</v>
      </c>
      <c r="O58" s="106">
        <f>'H-1 (1)(a)'!O58+'H-1 (1)(b)'!O58</f>
        <v>0</v>
      </c>
      <c r="P58" s="106">
        <f t="shared" si="13"/>
        <v>0</v>
      </c>
      <c r="Q58" s="68">
        <f>'H-1 (1)(a)'!Q58+'H-1 (1)(b)'!Q58</f>
        <v>0</v>
      </c>
      <c r="R58" s="106">
        <f>+P58+Q58</f>
        <v>0</v>
      </c>
      <c r="S58" s="106"/>
      <c r="T58" s="106"/>
    </row>
    <row r="59" spans="1:20" s="72" customFormat="1">
      <c r="A59">
        <v>44</v>
      </c>
      <c r="B59" s="72" t="s">
        <v>148</v>
      </c>
      <c r="C59" s="132">
        <v>928</v>
      </c>
      <c r="D59" s="106">
        <f>'H-1 (1)(a)'!D59+'H-1 (1)(b)'!D59</f>
        <v>6702.68</v>
      </c>
      <c r="E59" s="106">
        <f>'H-1 (1)(a)'!E59+'H-1 (1)(b)'!E59</f>
        <v>5015.8599999999997</v>
      </c>
      <c r="F59" s="106">
        <f>'H-1 (1)(a)'!F59+'H-1 (1)(b)'!F59</f>
        <v>5357.7599999999993</v>
      </c>
      <c r="G59" s="106">
        <f>'H-1 (1)(a)'!G59+'H-1 (1)(b)'!G59</f>
        <v>4266.2299999999996</v>
      </c>
      <c r="H59" s="106">
        <f>'H-1 (1)(a)'!H59+'H-1 (1)(b)'!H59</f>
        <v>4070.59</v>
      </c>
      <c r="I59" s="106">
        <f>'H-1 (1)(a)'!I59+'H-1 (1)(b)'!I59</f>
        <v>5059.5</v>
      </c>
      <c r="J59" s="106">
        <f>'H-1 (1)(a)'!J59+'H-1 (1)(b)'!J59</f>
        <v>4646.8099999999977</v>
      </c>
      <c r="K59" s="106">
        <f>'H-1 (1)(a)'!K59+'H-1 (1)(b)'!K59</f>
        <v>4834.1499999999996</v>
      </c>
      <c r="L59" s="106">
        <f>'H-1 (1)(a)'!L59+'H-1 (1)(b)'!L59</f>
        <v>2270.6800000000007</v>
      </c>
      <c r="M59" s="106">
        <f>'H-1 (1)(a)'!M59+'H-1 (1)(b)'!M59</f>
        <v>2474.23</v>
      </c>
      <c r="N59" s="106">
        <f>'H-1 (1)(a)'!N59+'H-1 (1)(b)'!N59</f>
        <v>4310.6399999999994</v>
      </c>
      <c r="O59" s="106">
        <f>'H-1 (1)(a)'!O59+'H-1 (1)(b)'!O59</f>
        <v>7401.4800000000005</v>
      </c>
      <c r="P59" s="106">
        <f t="shared" si="13"/>
        <v>56410.61</v>
      </c>
      <c r="Q59" s="68">
        <f>'H-1 (1)(a)'!Q59+'H-1 (1)(b)'!Q59</f>
        <v>1743589.39</v>
      </c>
      <c r="R59" s="106">
        <f t="shared" si="12"/>
        <v>1800000</v>
      </c>
      <c r="S59" s="106"/>
    </row>
    <row r="60" spans="1:20" s="72" customFormat="1">
      <c r="A60">
        <v>45</v>
      </c>
      <c r="B60" s="72" t="s">
        <v>149</v>
      </c>
      <c r="C60" s="132">
        <v>930</v>
      </c>
      <c r="D60" s="106">
        <f>'H-1 (1)(a)'!D60+'H-1 (1)(b)'!D60</f>
        <v>0</v>
      </c>
      <c r="E60" s="106">
        <f>'H-1 (1)(a)'!E60+'H-1 (1)(b)'!E60</f>
        <v>2500</v>
      </c>
      <c r="F60" s="106">
        <f>'H-1 (1)(a)'!F60+'H-1 (1)(b)'!F60</f>
        <v>0</v>
      </c>
      <c r="G60" s="106">
        <f>'H-1 (1)(a)'!G60+'H-1 (1)(b)'!G60</f>
        <v>0</v>
      </c>
      <c r="H60" s="106">
        <f>'H-1 (1)(a)'!H60+'H-1 (1)(b)'!H60</f>
        <v>0</v>
      </c>
      <c r="I60" s="106">
        <f>'H-1 (1)(a)'!I60+'H-1 (1)(b)'!I60</f>
        <v>51512.94</v>
      </c>
      <c r="J60" s="106">
        <f>'H-1 (1)(a)'!J60+'H-1 (1)(b)'!J60</f>
        <v>11987.059999999998</v>
      </c>
      <c r="K60" s="106">
        <f>'H-1 (1)(a)'!K60+'H-1 (1)(b)'!K60</f>
        <v>0</v>
      </c>
      <c r="L60" s="106">
        <f>'H-1 (1)(a)'!L60+'H-1 (1)(b)'!L60</f>
        <v>0</v>
      </c>
      <c r="M60" s="106">
        <f>'H-1 (1)(a)'!M60+'H-1 (1)(b)'!M60</f>
        <v>0</v>
      </c>
      <c r="N60" s="106">
        <f>'H-1 (1)(a)'!N60+'H-1 (1)(b)'!N60</f>
        <v>0</v>
      </c>
      <c r="O60" s="106">
        <f>'H-1 (1)(a)'!O60+'H-1 (1)(b)'!O60</f>
        <v>0</v>
      </c>
      <c r="P60" s="106">
        <f t="shared" si="13"/>
        <v>66000</v>
      </c>
      <c r="Q60" s="68">
        <f>'H-1 (1)(a)'!Q60+'H-1 (1)(b)'!Q60</f>
        <v>0</v>
      </c>
      <c r="R60" s="106">
        <f t="shared" si="12"/>
        <v>66000</v>
      </c>
      <c r="S60" s="106"/>
    </row>
    <row r="61" spans="1:20">
      <c r="A61">
        <v>46</v>
      </c>
      <c r="B61" t="s">
        <v>150</v>
      </c>
      <c r="C61" s="2">
        <v>931</v>
      </c>
      <c r="D61" s="68">
        <f>'H-1 (1)(a)'!D61+'H-1 (1)(b)'!D61</f>
        <v>0</v>
      </c>
      <c r="E61" s="68">
        <f>'H-1 (1)(a)'!E61+'H-1 (1)(b)'!E61</f>
        <v>0</v>
      </c>
      <c r="F61" s="68">
        <f>'H-1 (1)(a)'!F61+'H-1 (1)(b)'!F61</f>
        <v>3428.19</v>
      </c>
      <c r="G61" s="68">
        <f>'H-1 (1)(a)'!G61+'H-1 (1)(b)'!G61</f>
        <v>0</v>
      </c>
      <c r="H61" s="68">
        <f>'H-1 (1)(a)'!H61+'H-1 (1)(b)'!H61</f>
        <v>0</v>
      </c>
      <c r="I61" s="68">
        <f>'H-1 (1)(a)'!I61+'H-1 (1)(b)'!I61</f>
        <v>3292.12</v>
      </c>
      <c r="J61" s="68">
        <f>'H-1 (1)(a)'!J61+'H-1 (1)(b)'!J61</f>
        <v>0</v>
      </c>
      <c r="K61" s="68">
        <f>'H-1 (1)(a)'!K61+'H-1 (1)(b)'!K61</f>
        <v>0</v>
      </c>
      <c r="L61" s="68">
        <f>'H-1 (1)(a)'!L61+'H-1 (1)(b)'!L61</f>
        <v>2618.75</v>
      </c>
      <c r="M61" s="68">
        <f>'H-1 (1)(a)'!M61+'H-1 (1)(b)'!M61</f>
        <v>0</v>
      </c>
      <c r="N61" s="68">
        <f>'H-1 (1)(a)'!N61+'H-1 (1)(b)'!N61</f>
        <v>0</v>
      </c>
      <c r="O61" s="68">
        <f>'H-1 (1)(a)'!O61+'H-1 (1)(b)'!O61</f>
        <v>-9339.06</v>
      </c>
      <c r="P61" s="68">
        <f t="shared" si="13"/>
        <v>0</v>
      </c>
      <c r="Q61" s="68">
        <f>'H-1 (1)(a)'!Q61+'H-1 (1)(b)'!Q61</f>
        <v>0</v>
      </c>
      <c r="R61" s="68">
        <f t="shared" si="12"/>
        <v>0</v>
      </c>
      <c r="S61" s="68"/>
    </row>
    <row r="62" spans="1:20">
      <c r="A62">
        <v>47</v>
      </c>
      <c r="B62" t="s">
        <v>443</v>
      </c>
      <c r="C62" s="2">
        <v>932</v>
      </c>
      <c r="D62" s="68">
        <f>'H-1 (1)(a)'!D62+'H-1 (1)(b)'!D62</f>
        <v>0</v>
      </c>
      <c r="E62" s="68">
        <f>'H-1 (1)(a)'!E62+'H-1 (1)(b)'!E62</f>
        <v>0</v>
      </c>
      <c r="F62" s="68">
        <f>'H-1 (1)(a)'!F62+'H-1 (1)(b)'!F62</f>
        <v>0</v>
      </c>
      <c r="G62" s="68">
        <f>'H-1 (1)(a)'!G62+'H-1 (1)(b)'!G62</f>
        <v>0</v>
      </c>
      <c r="H62" s="68">
        <f>'H-1 (1)(a)'!H62+'H-1 (1)(b)'!H62</f>
        <v>0</v>
      </c>
      <c r="I62" s="68">
        <f>'H-1 (1)(a)'!I62+'H-1 (1)(b)'!I62</f>
        <v>0</v>
      </c>
      <c r="J62" s="68">
        <f>'H-1 (1)(a)'!J62+'H-1 (1)(b)'!J62</f>
        <v>0</v>
      </c>
      <c r="K62" s="68">
        <f>'H-1 (1)(a)'!K62+'H-1 (1)(b)'!K62</f>
        <v>0</v>
      </c>
      <c r="L62" s="68">
        <f>'H-1 (1)(a)'!L62+'H-1 (1)(b)'!L62</f>
        <v>0</v>
      </c>
      <c r="M62" s="68">
        <f>'H-1 (1)(a)'!M62+'H-1 (1)(b)'!M62</f>
        <v>0</v>
      </c>
      <c r="N62" s="68">
        <f>'H-1 (1)(a)'!N62+'H-1 (1)(b)'!N62</f>
        <v>0</v>
      </c>
      <c r="O62" s="68">
        <f>'H-1 (1)(a)'!O62+'H-1 (1)(b)'!O62</f>
        <v>0</v>
      </c>
      <c r="P62" s="68">
        <f t="shared" si="13"/>
        <v>0</v>
      </c>
      <c r="Q62" s="68">
        <f>'H-1 (1)(a)'!Q62+'H-1 (1)(b)'!Q62</f>
        <v>0</v>
      </c>
      <c r="R62" s="68">
        <f t="shared" si="12"/>
        <v>0</v>
      </c>
      <c r="S62" s="68"/>
    </row>
    <row r="63" spans="1:20">
      <c r="A63">
        <v>48</v>
      </c>
      <c r="B63" t="s">
        <v>137</v>
      </c>
      <c r="C63" s="2"/>
      <c r="D63" s="68">
        <f>'H-1 (1)(a)'!D63+'H-1 (1)(b)'!D63</f>
        <v>0</v>
      </c>
      <c r="E63" s="68">
        <f>'H-1 (1)(a)'!E63+'H-1 (1)(b)'!E63</f>
        <v>0</v>
      </c>
      <c r="F63" s="68">
        <f>'H-1 (1)(a)'!F63+'H-1 (1)(b)'!F63</f>
        <v>0</v>
      </c>
      <c r="G63" s="68">
        <f>'H-1 (1)(a)'!G63+'H-1 (1)(b)'!G63</f>
        <v>0</v>
      </c>
      <c r="H63" s="68">
        <f>'H-1 (1)(a)'!H63+'H-1 (1)(b)'!H63</f>
        <v>0</v>
      </c>
      <c r="I63" s="68">
        <f>'H-1 (1)(a)'!I63+'H-1 (1)(b)'!I63</f>
        <v>0</v>
      </c>
      <c r="J63" s="68">
        <f>'H-1 (1)(a)'!J63+'H-1 (1)(b)'!J63</f>
        <v>0</v>
      </c>
      <c r="K63" s="68">
        <f>'H-1 (1)(a)'!K63+'H-1 (1)(b)'!K63</f>
        <v>0</v>
      </c>
      <c r="L63" s="68">
        <f>'H-1 (1)(a)'!L63+'H-1 (1)(b)'!L63</f>
        <v>0</v>
      </c>
      <c r="M63" s="68">
        <f>'H-1 (1)(a)'!M63+'H-1 (1)(b)'!M63</f>
        <v>0</v>
      </c>
      <c r="N63" s="68">
        <f>'H-1 (1)(a)'!N63+'H-1 (1)(b)'!N63</f>
        <v>0</v>
      </c>
      <c r="O63" s="68">
        <f>'H-1 (1)(a)'!O63+'H-1 (1)(b)'!O63</f>
        <v>0</v>
      </c>
      <c r="P63" s="68">
        <f t="shared" si="13"/>
        <v>0</v>
      </c>
      <c r="Q63" s="68">
        <f>'H-1 (1)(a)'!Q63+'H-1 (1)(b)'!Q63</f>
        <v>0</v>
      </c>
      <c r="R63" s="68">
        <f t="shared" si="12"/>
        <v>0</v>
      </c>
      <c r="S63" s="68"/>
    </row>
    <row r="64" spans="1:20" ht="13.5" thickBot="1">
      <c r="A64">
        <v>49</v>
      </c>
      <c r="B64" s="42" t="s">
        <v>151</v>
      </c>
      <c r="C64" s="2"/>
      <c r="D64" s="69">
        <f>SUM(D51:D63)</f>
        <v>273655.33999999997</v>
      </c>
      <c r="E64" s="69">
        <f t="shared" ref="E64:R64" si="14">SUM(E51:E63)</f>
        <v>258187.45999999973</v>
      </c>
      <c r="F64" s="69">
        <f t="shared" si="14"/>
        <v>205453.7499999998</v>
      </c>
      <c r="G64" s="69">
        <f t="shared" si="14"/>
        <v>274641.55999999988</v>
      </c>
      <c r="H64" s="69">
        <f t="shared" si="14"/>
        <v>390777.71999999945</v>
      </c>
      <c r="I64" s="69">
        <f t="shared" si="14"/>
        <v>321654.38999999996</v>
      </c>
      <c r="J64" s="69">
        <f t="shared" si="14"/>
        <v>342142.37999999983</v>
      </c>
      <c r="K64" s="69">
        <f t="shared" si="14"/>
        <v>250710.17000000019</v>
      </c>
      <c r="L64" s="69">
        <f t="shared" si="14"/>
        <v>279476.49999999994</v>
      </c>
      <c r="M64" s="69">
        <f t="shared" si="14"/>
        <v>291979.49000000017</v>
      </c>
      <c r="N64" s="69">
        <f t="shared" si="14"/>
        <v>380906.21999999968</v>
      </c>
      <c r="O64" s="69">
        <f t="shared" si="14"/>
        <v>265617.99000000011</v>
      </c>
      <c r="P64" s="69">
        <f t="shared" si="14"/>
        <v>3535202.9699999983</v>
      </c>
      <c r="Q64" s="69">
        <f t="shared" si="14"/>
        <v>2341027.983339</v>
      </c>
      <c r="R64" s="69">
        <f t="shared" si="14"/>
        <v>5876230.9533389984</v>
      </c>
      <c r="S64" s="68"/>
    </row>
    <row r="65" spans="1:19" ht="13.5" thickTop="1">
      <c r="B65" s="42"/>
      <c r="C65" s="2"/>
      <c r="D65" s="68"/>
      <c r="E65" s="68"/>
      <c r="F65" s="68"/>
      <c r="G65" s="68"/>
      <c r="H65" s="68"/>
      <c r="I65" s="68"/>
      <c r="J65" s="68"/>
      <c r="K65" s="68"/>
      <c r="L65" s="68"/>
      <c r="M65" s="68"/>
      <c r="N65" s="68"/>
      <c r="O65" s="68"/>
      <c r="P65" s="68"/>
      <c r="Q65" s="68"/>
      <c r="R65" s="68"/>
      <c r="S65" s="68"/>
    </row>
    <row r="66" spans="1:19" ht="13.5" thickBot="1">
      <c r="A66">
        <v>50</v>
      </c>
      <c r="B66" s="42" t="s">
        <v>377</v>
      </c>
      <c r="C66" s="2"/>
      <c r="D66" s="69">
        <f t="shared" ref="D66:O66" si="15">D64+D48+D22</f>
        <v>603974.68000000005</v>
      </c>
      <c r="E66" s="69">
        <f t="shared" si="15"/>
        <v>653594.37999999977</v>
      </c>
      <c r="F66" s="69">
        <f t="shared" si="15"/>
        <v>-14161.200000000186</v>
      </c>
      <c r="G66" s="69">
        <f t="shared" si="15"/>
        <v>346081.39999999991</v>
      </c>
      <c r="H66" s="69">
        <f t="shared" si="15"/>
        <v>502379.13999999943</v>
      </c>
      <c r="I66" s="69">
        <f t="shared" si="15"/>
        <v>411708.72000000003</v>
      </c>
      <c r="J66" s="69">
        <f t="shared" si="15"/>
        <v>429210.64999999979</v>
      </c>
      <c r="K66" s="69">
        <f t="shared" si="15"/>
        <v>260318.39000000028</v>
      </c>
      <c r="L66" s="69">
        <f t="shared" si="15"/>
        <v>442732.72999999992</v>
      </c>
      <c r="M66" s="69">
        <f t="shared" si="15"/>
        <v>654489.03</v>
      </c>
      <c r="N66" s="69">
        <f t="shared" si="15"/>
        <v>871418.8599999994</v>
      </c>
      <c r="O66" s="69">
        <f t="shared" si="15"/>
        <v>1201147.7400000002</v>
      </c>
      <c r="P66" s="69">
        <f>P64+P48+P22</f>
        <v>6362894.5199999977</v>
      </c>
      <c r="Q66" s="69">
        <f>Q64+Q48+Q22</f>
        <v>1866257.6064389998</v>
      </c>
      <c r="R66" s="69">
        <f>R64+R48+R22</f>
        <v>8229152.1264389977</v>
      </c>
      <c r="S66" s="68"/>
    </row>
    <row r="67" spans="1:19" ht="13.5" thickTop="1">
      <c r="C67" s="2"/>
      <c r="D67" s="68"/>
      <c r="E67" s="68"/>
      <c r="F67" s="68"/>
      <c r="G67" s="68"/>
      <c r="H67" s="68"/>
      <c r="I67" s="68"/>
      <c r="J67" s="68"/>
      <c r="K67" s="68"/>
      <c r="L67" s="68"/>
      <c r="M67" s="68"/>
      <c r="N67" s="68"/>
      <c r="O67" s="68"/>
      <c r="P67" s="68"/>
      <c r="Q67" s="68"/>
      <c r="R67" s="68"/>
      <c r="S67" s="68"/>
    </row>
    <row r="68" spans="1:19">
      <c r="C68" s="2"/>
      <c r="D68" s="68"/>
      <c r="E68" s="68"/>
      <c r="F68" s="68"/>
      <c r="G68" s="68"/>
      <c r="H68" s="68"/>
      <c r="I68" s="68"/>
      <c r="J68" s="68"/>
      <c r="K68" s="68"/>
      <c r="L68" s="68"/>
      <c r="M68" s="68"/>
      <c r="N68" s="68"/>
      <c r="O68" s="68"/>
      <c r="P68" s="68"/>
      <c r="Q68" s="68"/>
      <c r="R68" s="68"/>
      <c r="S68" s="68"/>
    </row>
    <row r="69" spans="1:19">
      <c r="C69" s="2"/>
      <c r="D69" s="68"/>
      <c r="E69" s="68"/>
      <c r="F69" s="68"/>
      <c r="G69" s="68"/>
      <c r="H69" s="68"/>
      <c r="I69" s="68"/>
      <c r="J69" s="68"/>
      <c r="K69" s="68"/>
      <c r="L69" s="68"/>
      <c r="M69" s="68"/>
      <c r="N69" s="68"/>
      <c r="O69" s="68"/>
      <c r="P69" s="68"/>
      <c r="Q69" s="68"/>
      <c r="R69" s="68"/>
    </row>
    <row r="70" spans="1:19">
      <c r="C70" s="2"/>
      <c r="M70" s="68"/>
    </row>
    <row r="71" spans="1:19">
      <c r="C71" s="2"/>
    </row>
    <row r="72" spans="1:19">
      <c r="C72" s="2"/>
      <c r="D72" s="68"/>
      <c r="E72" s="68"/>
      <c r="F72" s="68"/>
      <c r="G72" s="68"/>
      <c r="H72" s="68"/>
      <c r="I72" s="68"/>
      <c r="J72" s="68"/>
      <c r="K72" s="68"/>
      <c r="L72" s="68"/>
      <c r="M72" s="68"/>
      <c r="N72" s="68"/>
      <c r="O72" s="68"/>
      <c r="P72" s="68"/>
      <c r="Q72" s="68"/>
    </row>
    <row r="73" spans="1:19">
      <c r="C73" s="2"/>
    </row>
    <row r="74" spans="1:19">
      <c r="C74" s="2"/>
      <c r="R74" s="68"/>
    </row>
    <row r="75" spans="1:19">
      <c r="C75" s="2"/>
      <c r="R75" s="68"/>
    </row>
    <row r="76" spans="1:19">
      <c r="C76" s="2"/>
    </row>
    <row r="77" spans="1:19">
      <c r="C77" s="2"/>
    </row>
    <row r="78" spans="1:19">
      <c r="C78" s="2"/>
    </row>
    <row r="79" spans="1:19">
      <c r="C79" s="2"/>
    </row>
    <row r="80" spans="1:19">
      <c r="C80" s="2"/>
    </row>
    <row r="81" spans="3:3">
      <c r="C81" s="2"/>
    </row>
    <row r="82" spans="3:3">
      <c r="C82" s="2"/>
    </row>
    <row r="83" spans="3:3">
      <c r="C83" s="2"/>
    </row>
    <row r="84" spans="3:3">
      <c r="C84" s="2"/>
    </row>
    <row r="85" spans="3:3">
      <c r="C85" s="2"/>
    </row>
    <row r="86" spans="3:3">
      <c r="C86" s="2"/>
    </row>
    <row r="87" spans="3:3">
      <c r="C87" s="2"/>
    </row>
    <row r="88" spans="3:3">
      <c r="C88" s="2"/>
    </row>
    <row r="89" spans="3:3">
      <c r="C89" s="2"/>
    </row>
    <row r="90" spans="3:3">
      <c r="C90" s="2"/>
    </row>
    <row r="91" spans="3:3">
      <c r="C91" s="2"/>
    </row>
    <row r="92" spans="3:3">
      <c r="C92" s="2"/>
    </row>
    <row r="93" spans="3:3">
      <c r="C93" s="2"/>
    </row>
    <row r="94" spans="3:3">
      <c r="C94" s="2"/>
    </row>
    <row r="95" spans="3:3">
      <c r="C95" s="2"/>
    </row>
    <row r="96" spans="3:3">
      <c r="C96" s="2"/>
    </row>
    <row r="97" spans="3:5">
      <c r="C97" s="2"/>
    </row>
    <row r="98" spans="3:5">
      <c r="C98" s="2"/>
    </row>
    <row r="99" spans="3:5">
      <c r="C99" s="2"/>
    </row>
    <row r="100" spans="3:5">
      <c r="C100" s="2"/>
    </row>
    <row r="101" spans="3:5">
      <c r="C101" s="2"/>
    </row>
    <row r="102" spans="3:5">
      <c r="D102" s="5"/>
      <c r="E102" s="5"/>
    </row>
    <row r="103" spans="3:5">
      <c r="D103" s="5"/>
      <c r="E103" s="5"/>
    </row>
    <row r="104" spans="3:5">
      <c r="D104" s="5"/>
      <c r="E104" s="5"/>
    </row>
    <row r="105" spans="3:5">
      <c r="D105" s="5"/>
      <c r="E105" s="5"/>
    </row>
    <row r="106" spans="3:5">
      <c r="D106" s="5"/>
      <c r="E106" s="5"/>
    </row>
    <row r="107" spans="3:5">
      <c r="D107" s="5"/>
      <c r="E107" s="5"/>
    </row>
    <row r="108" spans="3:5">
      <c r="D108" s="5"/>
      <c r="E108" s="5"/>
    </row>
    <row r="109" spans="3:5">
      <c r="D109" s="5"/>
      <c r="E109" s="5"/>
    </row>
    <row r="110" spans="3:5">
      <c r="D110" s="5"/>
      <c r="E110" s="5"/>
    </row>
    <row r="111" spans="3:5">
      <c r="D111" s="5"/>
      <c r="E111" s="5"/>
    </row>
    <row r="112" spans="3:5">
      <c r="D112" s="5"/>
      <c r="E112" s="5"/>
    </row>
    <row r="113" spans="4:5">
      <c r="D113" s="5"/>
      <c r="E113" s="5"/>
    </row>
    <row r="114" spans="4:5">
      <c r="D114" s="5"/>
      <c r="E114" s="5"/>
    </row>
    <row r="115" spans="4:5">
      <c r="D115" s="5"/>
      <c r="E115" s="5"/>
    </row>
    <row r="116" spans="4:5">
      <c r="D116" s="5"/>
      <c r="E116" s="5"/>
    </row>
    <row r="117" spans="4:5">
      <c r="D117" s="5"/>
      <c r="E117" s="5"/>
    </row>
    <row r="118" spans="4:5">
      <c r="D118" s="5"/>
      <c r="E118" s="5"/>
    </row>
    <row r="119" spans="4:5">
      <c r="D119" s="5"/>
      <c r="E119" s="5"/>
    </row>
    <row r="120" spans="4:5">
      <c r="D120" s="5"/>
      <c r="E120" s="5"/>
    </row>
    <row r="121" spans="4:5">
      <c r="D121" s="5"/>
      <c r="E121" s="5"/>
    </row>
    <row r="122" spans="4:5">
      <c r="D122" s="5"/>
      <c r="E122" s="5"/>
    </row>
    <row r="123" spans="4:5">
      <c r="D123" s="5"/>
      <c r="E123" s="5"/>
    </row>
    <row r="124" spans="4:5">
      <c r="D124" s="5"/>
      <c r="E124" s="5"/>
    </row>
    <row r="125" spans="4:5">
      <c r="D125" s="5"/>
      <c r="E125" s="5"/>
    </row>
    <row r="126" spans="4:5">
      <c r="D126" s="5"/>
      <c r="E126" s="5"/>
    </row>
    <row r="127" spans="4:5">
      <c r="D127" s="5"/>
      <c r="E127" s="5"/>
    </row>
    <row r="128" spans="4:5">
      <c r="D128" s="5"/>
      <c r="E128" s="5"/>
    </row>
    <row r="129" spans="4:5">
      <c r="D129" s="5"/>
      <c r="E129" s="5"/>
    </row>
    <row r="130" spans="4:5">
      <c r="D130" s="5"/>
      <c r="E130" s="5"/>
    </row>
    <row r="131" spans="4:5">
      <c r="D131" s="5"/>
      <c r="E131" s="5"/>
    </row>
    <row r="132" spans="4:5">
      <c r="D132" s="5"/>
      <c r="E132" s="5"/>
    </row>
    <row r="133" spans="4:5">
      <c r="D133" s="5"/>
      <c r="E133" s="5"/>
    </row>
    <row r="134" spans="4:5">
      <c r="D134" s="5"/>
      <c r="E134" s="5"/>
    </row>
    <row r="135" spans="4:5">
      <c r="D135" s="5"/>
      <c r="E135" s="5"/>
    </row>
    <row r="136" spans="4:5">
      <c r="D136" s="5"/>
      <c r="E136" s="5"/>
    </row>
    <row r="137" spans="4:5">
      <c r="D137" s="5"/>
      <c r="E137" s="5"/>
    </row>
    <row r="138" spans="4:5">
      <c r="D138" s="5"/>
      <c r="E138" s="5"/>
    </row>
    <row r="139" spans="4:5">
      <c r="D139" s="5"/>
      <c r="E139" s="5"/>
    </row>
    <row r="140" spans="4:5">
      <c r="D140" s="5"/>
      <c r="E140" s="5"/>
    </row>
    <row r="141" spans="4:5">
      <c r="D141" s="5"/>
      <c r="E141" s="5"/>
    </row>
    <row r="142" spans="4:5">
      <c r="D142" s="5"/>
      <c r="E142" s="5"/>
    </row>
    <row r="143" spans="4:5">
      <c r="D143" s="5"/>
      <c r="E143" s="5"/>
    </row>
    <row r="144" spans="4:5">
      <c r="D144" s="5"/>
      <c r="E144" s="5"/>
    </row>
    <row r="145" spans="4:5">
      <c r="D145" s="5"/>
      <c r="E145" s="5"/>
    </row>
    <row r="146" spans="4:5">
      <c r="D146" s="5"/>
      <c r="E146" s="5"/>
    </row>
    <row r="147" spans="4:5">
      <c r="D147" s="5"/>
      <c r="E147" s="5"/>
    </row>
    <row r="148" spans="4:5">
      <c r="D148" s="5"/>
      <c r="E148" s="5"/>
    </row>
    <row r="149" spans="4:5">
      <c r="D149" s="5"/>
      <c r="E149" s="5"/>
    </row>
    <row r="150" spans="4:5">
      <c r="D150" s="5"/>
      <c r="E150" s="5"/>
    </row>
    <row r="151" spans="4:5">
      <c r="D151" s="5"/>
      <c r="E151" s="5"/>
    </row>
    <row r="152" spans="4:5">
      <c r="D152" s="5"/>
      <c r="E152" s="5"/>
    </row>
    <row r="153" spans="4:5">
      <c r="D153" s="5"/>
      <c r="E153" s="5"/>
    </row>
    <row r="154" spans="4:5">
      <c r="D154" s="5"/>
      <c r="E154" s="5"/>
    </row>
    <row r="155" spans="4:5">
      <c r="D155" s="5"/>
      <c r="E155" s="5"/>
    </row>
    <row r="156" spans="4:5">
      <c r="D156" s="5"/>
      <c r="E156" s="5"/>
    </row>
    <row r="157" spans="4:5">
      <c r="D157" s="5"/>
      <c r="E157" s="5"/>
    </row>
    <row r="158" spans="4:5">
      <c r="D158" s="5"/>
      <c r="E158" s="5"/>
    </row>
    <row r="159" spans="4:5">
      <c r="D159" s="5"/>
      <c r="E159" s="5"/>
    </row>
    <row r="160" spans="4:5">
      <c r="D160" s="5"/>
      <c r="E160" s="5"/>
    </row>
    <row r="161" spans="4:5">
      <c r="D161" s="5"/>
      <c r="E161" s="5"/>
    </row>
    <row r="162" spans="4:5">
      <c r="D162" s="5"/>
      <c r="E162" s="5"/>
    </row>
    <row r="163" spans="4:5">
      <c r="D163" s="5"/>
      <c r="E163" s="5"/>
    </row>
    <row r="164" spans="4:5">
      <c r="D164" s="5"/>
      <c r="E164" s="5"/>
    </row>
    <row r="165" spans="4:5">
      <c r="D165" s="5"/>
      <c r="E165" s="5"/>
    </row>
    <row r="166" spans="4:5">
      <c r="D166" s="5"/>
      <c r="E166" s="5"/>
    </row>
    <row r="167" spans="4:5">
      <c r="D167" s="5"/>
      <c r="E167" s="5"/>
    </row>
    <row r="168" spans="4:5">
      <c r="D168" s="5"/>
      <c r="E168" s="5"/>
    </row>
    <row r="169" spans="4:5">
      <c r="D169" s="5"/>
      <c r="E169" s="5"/>
    </row>
    <row r="170" spans="4:5">
      <c r="D170" s="5"/>
      <c r="E170" s="5"/>
    </row>
    <row r="171" spans="4:5">
      <c r="D171" s="5"/>
      <c r="E171" s="5"/>
    </row>
    <row r="172" spans="4:5">
      <c r="D172" s="5"/>
      <c r="E172" s="5"/>
    </row>
    <row r="173" spans="4:5">
      <c r="D173" s="5"/>
      <c r="E173" s="5"/>
    </row>
    <row r="174" spans="4:5">
      <c r="D174" s="5"/>
      <c r="E174" s="5"/>
    </row>
    <row r="175" spans="4:5">
      <c r="D175" s="5"/>
      <c r="E175" s="5"/>
    </row>
    <row r="176" spans="4:5">
      <c r="D176" s="5"/>
      <c r="E176" s="5"/>
    </row>
    <row r="177" spans="4:5">
      <c r="D177" s="5"/>
      <c r="E177" s="5"/>
    </row>
    <row r="178" spans="4:5">
      <c r="D178" s="5"/>
      <c r="E178" s="5"/>
    </row>
    <row r="179" spans="4:5">
      <c r="D179" s="5"/>
      <c r="E179" s="5"/>
    </row>
    <row r="180" spans="4:5">
      <c r="D180" s="5"/>
      <c r="E180" s="5"/>
    </row>
    <row r="181" spans="4:5">
      <c r="D181" s="5"/>
      <c r="E181" s="5"/>
    </row>
    <row r="182" spans="4:5">
      <c r="D182" s="5"/>
      <c r="E182" s="5"/>
    </row>
    <row r="183" spans="4:5">
      <c r="D183" s="5"/>
      <c r="E183" s="5"/>
    </row>
    <row r="184" spans="4:5">
      <c r="D184" s="5"/>
      <c r="E184" s="5"/>
    </row>
    <row r="185" spans="4:5">
      <c r="D185" s="5"/>
      <c r="E185" s="5"/>
    </row>
    <row r="186" spans="4:5">
      <c r="D186" s="5"/>
      <c r="E186" s="5"/>
    </row>
    <row r="187" spans="4:5">
      <c r="D187" s="5"/>
      <c r="E187" s="5"/>
    </row>
    <row r="188" spans="4:5">
      <c r="D188" s="5"/>
      <c r="E188" s="5"/>
    </row>
    <row r="189" spans="4:5">
      <c r="D189" s="5"/>
      <c r="E189" s="5"/>
    </row>
    <row r="190" spans="4:5">
      <c r="D190" s="5"/>
      <c r="E190" s="5"/>
    </row>
    <row r="191" spans="4:5">
      <c r="D191" s="5"/>
      <c r="E191" s="5"/>
    </row>
    <row r="192" spans="4:5">
      <c r="D192" s="5"/>
      <c r="E192" s="5"/>
    </row>
    <row r="193" spans="4:5">
      <c r="D193" s="5"/>
      <c r="E193" s="5"/>
    </row>
    <row r="194" spans="4:5">
      <c r="D194" s="5"/>
      <c r="E194" s="5"/>
    </row>
    <row r="195" spans="4:5">
      <c r="D195" s="5"/>
      <c r="E195" s="5"/>
    </row>
    <row r="196" spans="4:5">
      <c r="D196" s="5"/>
      <c r="E196" s="5"/>
    </row>
    <row r="197" spans="4:5">
      <c r="D197" s="5"/>
      <c r="E197" s="5"/>
    </row>
    <row r="198" spans="4:5">
      <c r="D198" s="5"/>
      <c r="E198" s="5"/>
    </row>
    <row r="199" spans="4:5">
      <c r="D199" s="5"/>
      <c r="E199" s="5"/>
    </row>
    <row r="200" spans="4:5">
      <c r="D200" s="5"/>
      <c r="E200" s="5"/>
    </row>
    <row r="201" spans="4:5">
      <c r="D201" s="5"/>
      <c r="E201" s="5"/>
    </row>
    <row r="202" spans="4:5">
      <c r="D202" s="5"/>
      <c r="E202" s="5"/>
    </row>
    <row r="203" spans="4:5">
      <c r="D203" s="5"/>
      <c r="E203" s="5"/>
    </row>
    <row r="204" spans="4:5">
      <c r="D204" s="5"/>
      <c r="E204" s="5"/>
    </row>
    <row r="205" spans="4:5">
      <c r="D205" s="5"/>
      <c r="E205" s="5"/>
    </row>
    <row r="206" spans="4:5">
      <c r="D206" s="5"/>
      <c r="E206" s="5"/>
    </row>
    <row r="207" spans="4:5">
      <c r="D207" s="5"/>
      <c r="E207" s="5"/>
    </row>
    <row r="208" spans="4:5">
      <c r="D208" s="5"/>
      <c r="E208" s="5"/>
    </row>
    <row r="209" spans="4:5">
      <c r="D209" s="5"/>
      <c r="E209" s="5"/>
    </row>
    <row r="210" spans="4:5">
      <c r="D210" s="5"/>
      <c r="E210" s="5"/>
    </row>
    <row r="211" spans="4:5">
      <c r="D211" s="5"/>
      <c r="E211" s="5"/>
    </row>
    <row r="212" spans="4:5">
      <c r="D212" s="5"/>
      <c r="E212" s="5"/>
    </row>
    <row r="213" spans="4:5">
      <c r="D213" s="5"/>
      <c r="E213" s="5"/>
    </row>
    <row r="214" spans="4:5">
      <c r="D214" s="5"/>
      <c r="E214" s="5"/>
    </row>
    <row r="215" spans="4:5">
      <c r="D215" s="5"/>
      <c r="E215" s="5"/>
    </row>
    <row r="216" spans="4:5">
      <c r="D216" s="5"/>
      <c r="E216" s="5"/>
    </row>
    <row r="217" spans="4:5">
      <c r="D217" s="5"/>
      <c r="E217" s="5"/>
    </row>
    <row r="218" spans="4:5">
      <c r="D218" s="5"/>
      <c r="E218" s="5"/>
    </row>
    <row r="219" spans="4:5">
      <c r="D219" s="5"/>
      <c r="E219" s="5"/>
    </row>
    <row r="220" spans="4:5">
      <c r="D220" s="5"/>
      <c r="E220" s="5"/>
    </row>
    <row r="221" spans="4:5">
      <c r="D221" s="5"/>
      <c r="E221" s="5"/>
    </row>
    <row r="222" spans="4:5">
      <c r="D222" s="5"/>
      <c r="E222" s="5"/>
    </row>
    <row r="223" spans="4:5">
      <c r="D223" s="5"/>
      <c r="E223" s="5"/>
    </row>
    <row r="224" spans="4:5">
      <c r="D224" s="5"/>
      <c r="E224" s="5"/>
    </row>
    <row r="225" spans="4:5">
      <c r="D225" s="5"/>
      <c r="E225" s="5"/>
    </row>
    <row r="226" spans="4:5">
      <c r="D226" s="5"/>
      <c r="E226" s="5"/>
    </row>
    <row r="227" spans="4:5">
      <c r="D227" s="5"/>
      <c r="E227" s="5"/>
    </row>
    <row r="228" spans="4:5">
      <c r="D228" s="5"/>
      <c r="E228" s="5"/>
    </row>
    <row r="229" spans="4:5">
      <c r="D229" s="5"/>
      <c r="E229" s="5"/>
    </row>
    <row r="230" spans="4:5">
      <c r="D230" s="5"/>
      <c r="E230" s="5"/>
    </row>
    <row r="231" spans="4:5">
      <c r="D231" s="5"/>
      <c r="E231" s="5"/>
    </row>
    <row r="232" spans="4:5">
      <c r="D232" s="5"/>
      <c r="E232" s="5"/>
    </row>
    <row r="233" spans="4:5">
      <c r="D233" s="5"/>
      <c r="E233" s="5"/>
    </row>
    <row r="234" spans="4:5">
      <c r="D234" s="5"/>
      <c r="E234" s="5"/>
    </row>
    <row r="235" spans="4:5">
      <c r="D235" s="5"/>
      <c r="E235" s="5"/>
    </row>
    <row r="236" spans="4:5">
      <c r="D236" s="5"/>
      <c r="E236" s="5"/>
    </row>
    <row r="237" spans="4:5">
      <c r="D237" s="5"/>
      <c r="E237" s="5"/>
    </row>
    <row r="238" spans="4:5">
      <c r="D238" s="5"/>
      <c r="E238" s="5"/>
    </row>
    <row r="239" spans="4:5">
      <c r="D239" s="5"/>
      <c r="E239" s="5"/>
    </row>
    <row r="240" spans="4:5">
      <c r="D240" s="5"/>
      <c r="E240" s="5"/>
    </row>
    <row r="241" spans="4:5">
      <c r="D241" s="5"/>
      <c r="E241" s="5"/>
    </row>
    <row r="242" spans="4:5">
      <c r="D242" s="5"/>
      <c r="E242" s="5"/>
    </row>
    <row r="243" spans="4:5">
      <c r="D243" s="5"/>
      <c r="E243" s="5"/>
    </row>
    <row r="244" spans="4:5">
      <c r="D244" s="5"/>
      <c r="E244" s="5"/>
    </row>
    <row r="245" spans="4:5">
      <c r="D245" s="5"/>
      <c r="E245" s="5"/>
    </row>
    <row r="246" spans="4:5">
      <c r="D246" s="5"/>
      <c r="E246" s="5"/>
    </row>
    <row r="247" spans="4:5">
      <c r="D247" s="5"/>
      <c r="E247" s="5"/>
    </row>
    <row r="248" spans="4:5">
      <c r="D248" s="5"/>
      <c r="E248" s="5"/>
    </row>
    <row r="249" spans="4:5">
      <c r="D249" s="5"/>
      <c r="E249" s="5"/>
    </row>
    <row r="250" spans="4:5">
      <c r="D250" s="5"/>
      <c r="E250" s="5"/>
    </row>
    <row r="251" spans="4:5">
      <c r="D251" s="5"/>
      <c r="E251" s="5"/>
    </row>
    <row r="252" spans="4:5">
      <c r="D252" s="5"/>
      <c r="E252" s="5"/>
    </row>
    <row r="253" spans="4:5">
      <c r="D253" s="5"/>
      <c r="E253" s="5"/>
    </row>
    <row r="254" spans="4:5">
      <c r="D254" s="5"/>
      <c r="E254" s="5"/>
    </row>
    <row r="255" spans="4:5">
      <c r="D255" s="5"/>
      <c r="E255" s="5"/>
    </row>
    <row r="256" spans="4:5">
      <c r="D256" s="5"/>
      <c r="E256" s="5"/>
    </row>
    <row r="257" spans="4:5">
      <c r="D257" s="5"/>
      <c r="E257" s="5"/>
    </row>
    <row r="258" spans="4:5">
      <c r="D258" s="5"/>
      <c r="E258" s="5"/>
    </row>
    <row r="259" spans="4:5">
      <c r="D259" s="5"/>
      <c r="E259" s="5"/>
    </row>
    <row r="260" spans="4:5">
      <c r="D260" s="5"/>
      <c r="E260" s="5"/>
    </row>
    <row r="261" spans="4:5">
      <c r="D261" s="5"/>
      <c r="E261" s="5"/>
    </row>
    <row r="262" spans="4:5">
      <c r="D262" s="5"/>
      <c r="E262" s="5"/>
    </row>
    <row r="263" spans="4:5">
      <c r="D263" s="5"/>
      <c r="E263" s="5"/>
    </row>
    <row r="264" spans="4:5">
      <c r="D264" s="5"/>
      <c r="E264" s="5"/>
    </row>
    <row r="265" spans="4:5">
      <c r="D265" s="5"/>
      <c r="E265" s="5"/>
    </row>
    <row r="266" spans="4:5">
      <c r="D266" s="5"/>
      <c r="E266" s="5"/>
    </row>
    <row r="267" spans="4:5">
      <c r="D267" s="5"/>
      <c r="E267" s="5"/>
    </row>
    <row r="268" spans="4:5">
      <c r="D268" s="5"/>
      <c r="E268" s="5"/>
    </row>
    <row r="269" spans="4:5">
      <c r="D269" s="5"/>
      <c r="E269" s="5"/>
    </row>
    <row r="270" spans="4:5">
      <c r="D270" s="5"/>
      <c r="E270" s="5"/>
    </row>
    <row r="271" spans="4:5">
      <c r="D271" s="5"/>
      <c r="E271" s="5"/>
    </row>
    <row r="272" spans="4:5">
      <c r="D272" s="5"/>
      <c r="E272" s="5"/>
    </row>
    <row r="273" spans="4:5">
      <c r="D273" s="5"/>
      <c r="E273" s="5"/>
    </row>
    <row r="274" spans="4:5">
      <c r="D274" s="5"/>
      <c r="E274" s="5"/>
    </row>
    <row r="275" spans="4:5">
      <c r="D275" s="5"/>
      <c r="E275" s="5"/>
    </row>
    <row r="276" spans="4:5">
      <c r="D276" s="5"/>
      <c r="E276" s="5"/>
    </row>
    <row r="277" spans="4:5">
      <c r="D277" s="5"/>
      <c r="E277" s="5"/>
    </row>
    <row r="278" spans="4:5">
      <c r="D278" s="5"/>
      <c r="E278" s="5"/>
    </row>
    <row r="279" spans="4:5">
      <c r="D279" s="5"/>
      <c r="E279" s="5"/>
    </row>
    <row r="280" spans="4:5">
      <c r="D280" s="5"/>
      <c r="E280" s="5"/>
    </row>
    <row r="281" spans="4:5">
      <c r="D281" s="5"/>
      <c r="E281" s="5"/>
    </row>
    <row r="282" spans="4:5">
      <c r="D282" s="5"/>
      <c r="E282" s="5"/>
    </row>
    <row r="283" spans="4:5">
      <c r="D283" s="5"/>
      <c r="E283" s="5"/>
    </row>
    <row r="284" spans="4:5">
      <c r="D284" s="5"/>
      <c r="E284" s="5"/>
    </row>
    <row r="285" spans="4:5">
      <c r="D285" s="5"/>
      <c r="E285" s="5"/>
    </row>
    <row r="286" spans="4:5">
      <c r="D286" s="5"/>
      <c r="E286" s="5"/>
    </row>
    <row r="287" spans="4:5">
      <c r="D287" s="5"/>
      <c r="E287" s="5"/>
    </row>
    <row r="288" spans="4:5">
      <c r="D288" s="5"/>
      <c r="E288" s="5"/>
    </row>
    <row r="289" spans="4:5">
      <c r="D289" s="5"/>
      <c r="E289" s="5"/>
    </row>
    <row r="290" spans="4:5">
      <c r="D290" s="5"/>
      <c r="E290" s="5"/>
    </row>
    <row r="291" spans="4:5">
      <c r="D291" s="5"/>
      <c r="E291" s="5"/>
    </row>
    <row r="292" spans="4:5">
      <c r="D292" s="5"/>
      <c r="E292" s="5"/>
    </row>
    <row r="293" spans="4:5">
      <c r="D293" s="5"/>
      <c r="E293" s="5"/>
    </row>
    <row r="294" spans="4:5">
      <c r="D294" s="5"/>
      <c r="E294" s="5"/>
    </row>
    <row r="295" spans="4:5">
      <c r="D295" s="5"/>
      <c r="E295" s="5"/>
    </row>
    <row r="296" spans="4:5">
      <c r="D296" s="5"/>
      <c r="E296" s="5"/>
    </row>
    <row r="297" spans="4:5">
      <c r="D297" s="5"/>
      <c r="E297" s="5"/>
    </row>
    <row r="298" spans="4:5">
      <c r="D298" s="5"/>
      <c r="E298" s="5"/>
    </row>
    <row r="299" spans="4:5">
      <c r="D299" s="5"/>
      <c r="E299" s="5"/>
    </row>
    <row r="300" spans="4:5">
      <c r="D300" s="5"/>
      <c r="E300" s="5"/>
    </row>
    <row r="301" spans="4:5">
      <c r="D301" s="5"/>
      <c r="E301" s="5"/>
    </row>
    <row r="302" spans="4:5">
      <c r="D302" s="5"/>
      <c r="E302" s="5"/>
    </row>
    <row r="303" spans="4:5">
      <c r="D303" s="5"/>
      <c r="E303" s="5"/>
    </row>
    <row r="304" spans="4:5">
      <c r="D304" s="5"/>
      <c r="E304" s="5"/>
    </row>
    <row r="305" spans="4:5">
      <c r="D305" s="5"/>
      <c r="E305" s="5"/>
    </row>
    <row r="306" spans="4:5">
      <c r="D306" s="5"/>
      <c r="E306" s="5"/>
    </row>
    <row r="307" spans="4:5">
      <c r="D307" s="5"/>
      <c r="E307" s="5"/>
    </row>
    <row r="308" spans="4:5">
      <c r="D308" s="5"/>
      <c r="E308" s="5"/>
    </row>
    <row r="309" spans="4:5">
      <c r="D309" s="5"/>
      <c r="E309" s="5"/>
    </row>
    <row r="310" spans="4:5">
      <c r="D310" s="5"/>
      <c r="E310" s="5"/>
    </row>
    <row r="311" spans="4:5">
      <c r="D311" s="5"/>
      <c r="E311" s="5"/>
    </row>
    <row r="312" spans="4:5">
      <c r="D312" s="5"/>
      <c r="E312" s="5"/>
    </row>
    <row r="313" spans="4:5">
      <c r="D313" s="5"/>
      <c r="E313" s="5"/>
    </row>
    <row r="314" spans="4:5">
      <c r="D314" s="5"/>
      <c r="E314" s="5"/>
    </row>
    <row r="315" spans="4:5">
      <c r="D315" s="5"/>
      <c r="E315" s="5"/>
    </row>
    <row r="316" spans="4:5">
      <c r="D316" s="5"/>
      <c r="E316" s="5"/>
    </row>
    <row r="317" spans="4:5">
      <c r="D317" s="5"/>
      <c r="E317" s="5"/>
    </row>
    <row r="318" spans="4:5">
      <c r="D318" s="5"/>
      <c r="E318" s="5"/>
    </row>
    <row r="319" spans="4:5">
      <c r="D319" s="5"/>
      <c r="E319" s="5"/>
    </row>
    <row r="320" spans="4:5">
      <c r="D320" s="5"/>
      <c r="E320" s="5"/>
    </row>
    <row r="321" spans="4:5">
      <c r="D321" s="5"/>
      <c r="E321" s="5"/>
    </row>
    <row r="322" spans="4:5">
      <c r="D322" s="5"/>
      <c r="E322" s="5"/>
    </row>
    <row r="323" spans="4:5">
      <c r="D323" s="5"/>
      <c r="E323" s="5"/>
    </row>
    <row r="324" spans="4:5">
      <c r="D324" s="5"/>
      <c r="E324" s="5"/>
    </row>
    <row r="325" spans="4:5">
      <c r="D325" s="5"/>
      <c r="E325" s="5"/>
    </row>
    <row r="326" spans="4:5">
      <c r="D326" s="5"/>
      <c r="E326" s="5"/>
    </row>
    <row r="327" spans="4:5">
      <c r="D327" s="5"/>
      <c r="E327" s="5"/>
    </row>
    <row r="328" spans="4:5">
      <c r="D328" s="5"/>
      <c r="E328" s="5"/>
    </row>
    <row r="329" spans="4:5">
      <c r="D329" s="5"/>
      <c r="E329" s="5"/>
    </row>
    <row r="330" spans="4:5">
      <c r="D330" s="5"/>
      <c r="E330" s="5"/>
    </row>
    <row r="331" spans="4:5">
      <c r="D331" s="5"/>
      <c r="E331" s="5"/>
    </row>
    <row r="332" spans="4:5">
      <c r="D332" s="5"/>
      <c r="E332" s="5"/>
    </row>
    <row r="333" spans="4:5">
      <c r="D333" s="5"/>
      <c r="E333" s="5"/>
    </row>
    <row r="334" spans="4:5">
      <c r="D334" s="5"/>
      <c r="E334" s="5"/>
    </row>
    <row r="335" spans="4:5">
      <c r="D335" s="5"/>
      <c r="E335" s="5"/>
    </row>
    <row r="336" spans="4:5">
      <c r="D336" s="5"/>
      <c r="E336" s="5"/>
    </row>
    <row r="337" spans="4:5">
      <c r="D337" s="5"/>
      <c r="E337" s="5"/>
    </row>
    <row r="338" spans="4:5">
      <c r="D338" s="5"/>
      <c r="E338" s="5"/>
    </row>
    <row r="339" spans="4:5">
      <c r="D339" s="5"/>
      <c r="E339" s="5"/>
    </row>
    <row r="340" spans="4:5">
      <c r="D340" s="5"/>
      <c r="E340" s="5"/>
    </row>
    <row r="341" spans="4:5">
      <c r="D341" s="5"/>
      <c r="E341" s="5"/>
    </row>
    <row r="342" spans="4:5">
      <c r="D342" s="5"/>
      <c r="E342" s="5"/>
    </row>
    <row r="343" spans="4:5">
      <c r="D343" s="5"/>
      <c r="E343" s="5"/>
    </row>
    <row r="344" spans="4:5">
      <c r="D344" s="5"/>
      <c r="E344" s="5"/>
    </row>
    <row r="345" spans="4:5">
      <c r="D345" s="5"/>
      <c r="E345" s="5"/>
    </row>
    <row r="346" spans="4:5">
      <c r="D346" s="5"/>
      <c r="E346" s="5"/>
    </row>
    <row r="347" spans="4:5">
      <c r="D347" s="5"/>
      <c r="E347" s="5"/>
    </row>
    <row r="348" spans="4:5">
      <c r="D348" s="5"/>
      <c r="E348" s="5"/>
    </row>
    <row r="349" spans="4:5">
      <c r="D349" s="5"/>
      <c r="E349" s="5"/>
    </row>
    <row r="350" spans="4:5">
      <c r="D350" s="5"/>
      <c r="E350" s="5"/>
    </row>
    <row r="351" spans="4:5">
      <c r="D351" s="5"/>
      <c r="E351" s="5"/>
    </row>
    <row r="352" spans="4:5">
      <c r="D352" s="5"/>
      <c r="E352" s="5"/>
    </row>
    <row r="353" spans="4:5">
      <c r="D353" s="5"/>
      <c r="E353" s="5"/>
    </row>
    <row r="354" spans="4:5">
      <c r="D354" s="5"/>
      <c r="E354" s="5"/>
    </row>
    <row r="355" spans="4:5">
      <c r="D355" s="5"/>
      <c r="E355" s="5"/>
    </row>
    <row r="356" spans="4:5">
      <c r="D356" s="5"/>
      <c r="E356" s="5"/>
    </row>
    <row r="357" spans="4:5">
      <c r="D357" s="5"/>
      <c r="E357" s="5"/>
    </row>
    <row r="358" spans="4:5">
      <c r="D358" s="5"/>
      <c r="E358" s="5"/>
    </row>
    <row r="359" spans="4:5">
      <c r="D359" s="5"/>
      <c r="E359" s="5"/>
    </row>
    <row r="360" spans="4:5">
      <c r="D360" s="5"/>
      <c r="E360" s="5"/>
    </row>
    <row r="361" spans="4:5">
      <c r="D361" s="5"/>
      <c r="E361" s="5"/>
    </row>
    <row r="362" spans="4:5">
      <c r="D362" s="5"/>
      <c r="E362" s="5"/>
    </row>
    <row r="363" spans="4:5">
      <c r="D363" s="5"/>
      <c r="E363" s="5"/>
    </row>
    <row r="364" spans="4:5">
      <c r="D364" s="5"/>
      <c r="E364" s="5"/>
    </row>
    <row r="365" spans="4:5">
      <c r="D365" s="5"/>
      <c r="E365" s="5"/>
    </row>
    <row r="366" spans="4:5">
      <c r="D366" s="5"/>
      <c r="E366" s="5"/>
    </row>
    <row r="367" spans="4:5">
      <c r="D367" s="5"/>
      <c r="E367" s="5"/>
    </row>
    <row r="368" spans="4:5">
      <c r="D368" s="5"/>
      <c r="E368" s="5"/>
    </row>
    <row r="369" spans="4:5">
      <c r="D369" s="5"/>
      <c r="E369" s="5"/>
    </row>
    <row r="370" spans="4:5">
      <c r="D370" s="5"/>
      <c r="E370" s="5"/>
    </row>
    <row r="371" spans="4:5">
      <c r="D371" s="5"/>
      <c r="E371" s="5"/>
    </row>
    <row r="372" spans="4:5">
      <c r="D372" s="5"/>
      <c r="E372" s="5"/>
    </row>
    <row r="373" spans="4:5">
      <c r="D373" s="5"/>
      <c r="E373" s="5"/>
    </row>
    <row r="374" spans="4:5">
      <c r="D374" s="5"/>
      <c r="E374" s="5"/>
    </row>
    <row r="375" spans="4:5">
      <c r="D375" s="5"/>
      <c r="E375" s="5"/>
    </row>
    <row r="376" spans="4:5">
      <c r="D376" s="5"/>
      <c r="E376" s="5"/>
    </row>
    <row r="377" spans="4:5">
      <c r="D377" s="5"/>
      <c r="E377" s="5"/>
    </row>
    <row r="378" spans="4:5">
      <c r="D378" s="5"/>
      <c r="E378" s="5"/>
    </row>
    <row r="379" spans="4:5">
      <c r="D379" s="5"/>
      <c r="E379" s="5"/>
    </row>
    <row r="380" spans="4:5">
      <c r="D380" s="5"/>
      <c r="E380" s="5"/>
    </row>
    <row r="381" spans="4:5">
      <c r="D381" s="5"/>
      <c r="E381" s="5"/>
    </row>
    <row r="382" spans="4:5">
      <c r="D382" s="5"/>
      <c r="E382" s="5"/>
    </row>
    <row r="383" spans="4:5">
      <c r="D383" s="5"/>
      <c r="E383" s="5"/>
    </row>
    <row r="384" spans="4:5">
      <c r="D384" s="5"/>
      <c r="E384" s="5"/>
    </row>
    <row r="385" spans="4:5">
      <c r="D385" s="5"/>
      <c r="E385" s="5"/>
    </row>
    <row r="386" spans="4:5">
      <c r="D386" s="5"/>
      <c r="E386" s="5"/>
    </row>
    <row r="387" spans="4:5">
      <c r="D387" s="5"/>
      <c r="E387" s="5"/>
    </row>
    <row r="388" spans="4:5">
      <c r="D388" s="5"/>
      <c r="E388" s="5"/>
    </row>
    <row r="389" spans="4:5">
      <c r="D389" s="5"/>
      <c r="E389" s="5"/>
    </row>
    <row r="390" spans="4:5">
      <c r="D390" s="5"/>
      <c r="E390" s="5"/>
    </row>
    <row r="391" spans="4:5">
      <c r="D391" s="5"/>
      <c r="E391" s="5"/>
    </row>
    <row r="392" spans="4:5">
      <c r="D392" s="5"/>
      <c r="E392" s="5"/>
    </row>
    <row r="393" spans="4:5">
      <c r="D393" s="5"/>
      <c r="E393" s="5"/>
    </row>
    <row r="394" spans="4:5">
      <c r="D394" s="5"/>
      <c r="E394" s="5"/>
    </row>
    <row r="395" spans="4:5">
      <c r="D395" s="5"/>
      <c r="E395" s="5"/>
    </row>
    <row r="396" spans="4:5">
      <c r="D396" s="5"/>
      <c r="E396" s="5"/>
    </row>
  </sheetData>
  <mergeCells count="4">
    <mergeCell ref="A4:R4"/>
    <mergeCell ref="A5:R5"/>
    <mergeCell ref="A6:R6"/>
    <mergeCell ref="A7:R7"/>
  </mergeCells>
  <phoneticPr fontId="5" type="noConversion"/>
  <pageMargins left="0.75" right="0.75" top="1" bottom="1" header="0.5" footer="0.5"/>
  <pageSetup scale="4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indexed="17"/>
    <pageSetUpPr fitToPage="1"/>
  </sheetPr>
  <dimension ref="A1:W101"/>
  <sheetViews>
    <sheetView zoomScale="80" zoomScaleNormal="80" workbookViewId="0">
      <selection activeCell="A4" sqref="A4:O4"/>
    </sheetView>
  </sheetViews>
  <sheetFormatPr defaultRowHeight="12.75"/>
  <cols>
    <col min="1" max="1" width="4.42578125" style="72" bestFit="1" customWidth="1"/>
    <col min="2" max="2" width="41.5703125" style="72" bestFit="1" customWidth="1"/>
    <col min="3" max="3" width="4.85546875" style="227" bestFit="1" customWidth="1"/>
    <col min="4" max="4" width="13.5703125" style="248" bestFit="1" customWidth="1"/>
    <col min="5" max="5" width="13.5703125" style="317" bestFit="1" customWidth="1"/>
    <col min="6" max="6" width="10.42578125" style="317" bestFit="1" customWidth="1"/>
    <col min="7" max="7" width="9.5703125" style="317" bestFit="1" customWidth="1"/>
    <col min="8" max="8" width="10.85546875" style="317" customWidth="1"/>
    <col min="9" max="9" width="11.28515625" style="317" customWidth="1"/>
    <col min="10" max="10" width="8.5703125" style="317" bestFit="1" customWidth="1"/>
    <col min="11" max="11" width="8.85546875" style="317" bestFit="1" customWidth="1"/>
    <col min="12" max="13" width="5.7109375" style="317" hidden="1" customWidth="1"/>
    <col min="14" max="14" width="3.5703125" style="317" hidden="1" customWidth="1"/>
    <col min="15" max="15" width="15.85546875" style="317" customWidth="1"/>
    <col min="16" max="16" width="5.5703125" style="317" bestFit="1" customWidth="1"/>
    <col min="17" max="17" width="8.140625" style="317" bestFit="1" customWidth="1"/>
    <col min="18" max="18" width="9.7109375" style="317" bestFit="1" customWidth="1"/>
    <col min="19" max="19" width="8.7109375" style="317" bestFit="1" customWidth="1"/>
    <col min="20" max="20" width="9.7109375" style="317" bestFit="1" customWidth="1"/>
    <col min="21" max="21" width="7.7109375" style="317" bestFit="1" customWidth="1"/>
    <col min="22" max="22" width="10.7109375" style="317" bestFit="1" customWidth="1"/>
    <col min="23" max="23" width="14" style="72" bestFit="1" customWidth="1"/>
    <col min="24" max="24" width="14.5703125" style="72" bestFit="1" customWidth="1"/>
    <col min="25" max="25" width="9.140625" style="72"/>
    <col min="26" max="26" width="11.28515625" style="72" bestFit="1" customWidth="1"/>
    <col min="27" max="16384" width="9.140625" style="72"/>
  </cols>
  <sheetData>
    <row r="1" spans="1:22">
      <c r="B1" s="239"/>
      <c r="C1" s="239"/>
      <c r="D1" s="72"/>
      <c r="E1" s="201"/>
      <c r="F1" s="72"/>
      <c r="G1" s="72"/>
      <c r="H1" s="239"/>
      <c r="I1" s="239"/>
      <c r="J1" s="72"/>
      <c r="K1" s="201"/>
      <c r="L1" s="72"/>
      <c r="O1" s="72" t="str">
        <f>+'H-1'!Q1</f>
        <v>Docket No. RP16-299-000</v>
      </c>
      <c r="T1" s="72"/>
    </row>
    <row r="2" spans="1:22">
      <c r="B2" s="239"/>
      <c r="C2" s="239"/>
      <c r="D2" s="72"/>
      <c r="E2" s="201"/>
      <c r="F2" s="72"/>
      <c r="G2" s="72"/>
      <c r="H2" s="239"/>
      <c r="I2" s="239"/>
      <c r="J2" s="72"/>
      <c r="K2" s="201"/>
      <c r="L2" s="72"/>
      <c r="O2" s="72" t="s">
        <v>1067</v>
      </c>
      <c r="T2" s="72"/>
    </row>
    <row r="3" spans="1:22">
      <c r="B3" s="239"/>
      <c r="C3" s="239"/>
      <c r="D3" s="72"/>
      <c r="E3" s="201"/>
      <c r="F3" s="72"/>
      <c r="G3" s="72"/>
      <c r="H3" s="239"/>
      <c r="I3" s="239"/>
      <c r="J3" s="72"/>
      <c r="K3" s="201"/>
      <c r="L3" s="72"/>
      <c r="O3" s="72"/>
      <c r="T3" s="72"/>
    </row>
    <row r="4" spans="1:22">
      <c r="A4" s="945" t="str">
        <f>'H-1 ADJ'!A4:F4</f>
        <v>Tuscarora Gas Transmission Company</v>
      </c>
      <c r="B4" s="946"/>
      <c r="C4" s="946"/>
      <c r="D4" s="946"/>
      <c r="E4" s="946"/>
      <c r="F4" s="946"/>
      <c r="G4" s="946"/>
      <c r="H4" s="946"/>
      <c r="I4" s="946"/>
      <c r="J4" s="946"/>
      <c r="K4" s="946"/>
      <c r="L4" s="946"/>
      <c r="M4" s="946"/>
      <c r="N4" s="946"/>
      <c r="O4" s="946"/>
      <c r="P4" s="242"/>
      <c r="Q4" s="242"/>
      <c r="R4" s="242"/>
      <c r="S4" s="242"/>
      <c r="T4" s="242"/>
      <c r="U4" s="242"/>
      <c r="V4" s="242"/>
    </row>
    <row r="5" spans="1:22">
      <c r="A5" s="946" t="s">
        <v>286</v>
      </c>
      <c r="B5" s="946"/>
      <c r="C5" s="946"/>
      <c r="D5" s="946"/>
      <c r="E5" s="946"/>
      <c r="F5" s="946"/>
      <c r="G5" s="946"/>
      <c r="H5" s="946"/>
      <c r="I5" s="946"/>
      <c r="J5" s="946"/>
      <c r="K5" s="946"/>
      <c r="L5" s="946"/>
      <c r="M5" s="946"/>
      <c r="N5" s="946"/>
      <c r="O5" s="946"/>
      <c r="P5" s="242"/>
      <c r="Q5" s="242"/>
      <c r="R5" s="242"/>
      <c r="S5" s="242"/>
      <c r="T5" s="242"/>
      <c r="U5" s="242"/>
      <c r="V5" s="242"/>
    </row>
    <row r="6" spans="1:22">
      <c r="A6" s="946" t="s">
        <v>757</v>
      </c>
      <c r="B6" s="946"/>
      <c r="C6" s="946"/>
      <c r="D6" s="946"/>
      <c r="E6" s="946"/>
      <c r="F6" s="946"/>
      <c r="G6" s="946"/>
      <c r="H6" s="946"/>
      <c r="I6" s="946"/>
      <c r="J6" s="946"/>
      <c r="K6" s="946"/>
      <c r="L6" s="946"/>
      <c r="M6" s="946"/>
      <c r="N6" s="946"/>
      <c r="O6" s="946"/>
      <c r="P6" s="242"/>
      <c r="Q6" s="242"/>
      <c r="R6" s="242"/>
      <c r="S6" s="242"/>
      <c r="T6" s="242"/>
      <c r="U6" s="242"/>
      <c r="V6" s="242"/>
    </row>
    <row r="7" spans="1:22">
      <c r="A7" s="498"/>
      <c r="B7" s="498"/>
      <c r="C7" s="498"/>
      <c r="D7" s="498"/>
      <c r="E7" s="498"/>
      <c r="F7" s="498"/>
      <c r="G7" s="498"/>
      <c r="H7" s="498"/>
      <c r="I7" s="498"/>
      <c r="J7" s="498"/>
      <c r="K7" s="636"/>
      <c r="L7" s="498"/>
      <c r="M7" s="498"/>
      <c r="N7" s="498"/>
      <c r="O7" s="498"/>
      <c r="P7" s="242"/>
      <c r="Q7" s="242"/>
      <c r="R7" s="242"/>
      <c r="S7" s="242"/>
      <c r="T7" s="242"/>
      <c r="U7" s="242"/>
      <c r="V7" s="242"/>
    </row>
    <row r="8" spans="1:22" s="132" customFormat="1">
      <c r="C8" s="227"/>
      <c r="D8" s="248"/>
      <c r="E8" s="248"/>
      <c r="F8" s="248"/>
      <c r="G8" s="248"/>
      <c r="H8" s="248"/>
      <c r="I8" s="248"/>
      <c r="J8" s="248"/>
      <c r="K8" s="248"/>
      <c r="L8" s="248"/>
      <c r="M8" s="248"/>
      <c r="N8" s="248"/>
      <c r="O8" s="248" t="s">
        <v>326</v>
      </c>
      <c r="P8" s="248"/>
      <c r="Q8" s="248"/>
      <c r="R8" s="248"/>
      <c r="S8" s="248"/>
      <c r="T8" s="248"/>
      <c r="U8" s="248"/>
      <c r="V8" s="248"/>
    </row>
    <row r="9" spans="1:22">
      <c r="A9" s="132" t="s">
        <v>352</v>
      </c>
      <c r="B9" s="132"/>
      <c r="C9" s="227" t="s">
        <v>394</v>
      </c>
      <c r="D9" s="318" t="s">
        <v>38</v>
      </c>
      <c r="E9" s="319" t="s">
        <v>600</v>
      </c>
      <c r="F9" s="319" t="s">
        <v>601</v>
      </c>
      <c r="G9" s="319" t="s">
        <v>602</v>
      </c>
      <c r="H9" s="319" t="s">
        <v>603</v>
      </c>
      <c r="I9" s="319" t="s">
        <v>604</v>
      </c>
      <c r="J9" s="319" t="s">
        <v>605</v>
      </c>
      <c r="K9" s="319" t="s">
        <v>606</v>
      </c>
      <c r="L9" s="291" t="s">
        <v>607</v>
      </c>
      <c r="M9" s="291" t="s">
        <v>608</v>
      </c>
      <c r="N9" s="291" t="s">
        <v>609</v>
      </c>
      <c r="O9" s="319" t="s">
        <v>402</v>
      </c>
      <c r="P9" s="72"/>
      <c r="Q9" s="72"/>
      <c r="R9" s="72"/>
      <c r="S9" s="72"/>
      <c r="T9" s="72"/>
      <c r="U9" s="72"/>
      <c r="V9" s="72"/>
    </row>
    <row r="10" spans="1:22">
      <c r="A10" s="149" t="s">
        <v>353</v>
      </c>
      <c r="B10" s="149" t="s">
        <v>354</v>
      </c>
      <c r="C10" s="228" t="s">
        <v>353</v>
      </c>
      <c r="D10" s="320"/>
      <c r="E10" s="248"/>
      <c r="F10" s="248"/>
      <c r="G10" s="248"/>
      <c r="H10" s="248"/>
      <c r="I10" s="248"/>
      <c r="J10" s="248"/>
      <c r="K10" s="248"/>
      <c r="L10" s="290"/>
      <c r="M10" s="290"/>
      <c r="N10" s="290"/>
      <c r="P10" s="72"/>
      <c r="Q10" s="72"/>
      <c r="R10" s="72"/>
      <c r="S10" s="72"/>
      <c r="T10" s="72"/>
      <c r="U10" s="72"/>
      <c r="V10" s="72"/>
    </row>
    <row r="11" spans="1:22">
      <c r="B11" s="132" t="s">
        <v>361</v>
      </c>
      <c r="C11" s="227" t="s">
        <v>362</v>
      </c>
      <c r="D11" s="227" t="s">
        <v>366</v>
      </c>
      <c r="E11" s="227" t="s">
        <v>363</v>
      </c>
      <c r="F11" s="227" t="s">
        <v>364</v>
      </c>
      <c r="G11" s="227" t="s">
        <v>379</v>
      </c>
      <c r="H11" s="227" t="s">
        <v>380</v>
      </c>
      <c r="I11" s="227" t="s">
        <v>403</v>
      </c>
      <c r="J11" s="227" t="s">
        <v>404</v>
      </c>
      <c r="K11" s="227" t="s">
        <v>351</v>
      </c>
      <c r="L11" s="77" t="s">
        <v>250</v>
      </c>
      <c r="M11" s="77" t="s">
        <v>254</v>
      </c>
      <c r="N11" s="77" t="s">
        <v>313</v>
      </c>
      <c r="O11" s="227" t="s">
        <v>351</v>
      </c>
      <c r="P11" s="72"/>
      <c r="Q11" s="72"/>
      <c r="R11" s="72"/>
      <c r="S11" s="72"/>
      <c r="T11" s="72"/>
      <c r="U11" s="72"/>
      <c r="V11" s="72"/>
    </row>
    <row r="12" spans="1:22">
      <c r="C12" s="132"/>
      <c r="E12" s="248"/>
      <c r="F12" s="248"/>
      <c r="G12" s="248"/>
      <c r="H12" s="248"/>
      <c r="I12" s="248"/>
      <c r="J12" s="248"/>
      <c r="K12" s="248"/>
      <c r="L12" s="290"/>
      <c r="M12" s="290"/>
      <c r="N12" s="290"/>
      <c r="O12" s="248" t="s">
        <v>365</v>
      </c>
      <c r="P12" s="72"/>
      <c r="Q12" s="72"/>
      <c r="R12" s="72"/>
      <c r="S12" s="72"/>
      <c r="T12" s="72"/>
      <c r="U12" s="72"/>
      <c r="V12" s="72"/>
    </row>
    <row r="13" spans="1:22">
      <c r="A13">
        <v>1</v>
      </c>
      <c r="B13" s="42" t="s">
        <v>725</v>
      </c>
      <c r="C13" s="2"/>
      <c r="L13" s="289"/>
      <c r="M13" s="289"/>
      <c r="N13" s="289"/>
      <c r="P13" s="72"/>
      <c r="Q13" s="72"/>
      <c r="R13" s="72"/>
      <c r="S13" s="72"/>
      <c r="T13" s="72"/>
      <c r="U13" s="72"/>
      <c r="V13" s="72"/>
    </row>
    <row r="14" spans="1:22">
      <c r="A14">
        <v>2</v>
      </c>
      <c r="B14" s="42" t="s">
        <v>171</v>
      </c>
      <c r="C14" s="2"/>
      <c r="L14" s="289"/>
      <c r="M14" s="289"/>
      <c r="N14" s="289"/>
      <c r="P14" s="72"/>
      <c r="Q14" s="72"/>
      <c r="R14" s="72"/>
      <c r="S14" s="72"/>
      <c r="T14" s="72"/>
      <c r="U14" s="72"/>
      <c r="V14" s="72"/>
    </row>
    <row r="15" spans="1:22">
      <c r="A15">
        <v>3</v>
      </c>
      <c r="B15" t="s">
        <v>726</v>
      </c>
      <c r="C15" s="2">
        <v>805</v>
      </c>
      <c r="D15" s="426">
        <f>'H-1'!P15</f>
        <v>0</v>
      </c>
      <c r="E15" s="421"/>
      <c r="L15" s="289"/>
      <c r="M15" s="289"/>
      <c r="N15" s="289"/>
      <c r="O15" s="314">
        <f t="shared" ref="O15:O21" si="0">SUM(D15:N15)</f>
        <v>0</v>
      </c>
      <c r="P15" s="72"/>
      <c r="Q15" s="72"/>
      <c r="R15" s="72"/>
      <c r="S15" s="72"/>
      <c r="T15" s="72"/>
      <c r="U15" s="72"/>
      <c r="V15" s="72"/>
    </row>
    <row r="16" spans="1:22">
      <c r="A16">
        <v>4</v>
      </c>
      <c r="B16" t="s">
        <v>727</v>
      </c>
      <c r="C16" s="2">
        <v>806</v>
      </c>
      <c r="D16" s="426">
        <f>'H-1'!P16</f>
        <v>484377.91000000009</v>
      </c>
      <c r="E16" s="314">
        <f>'H-1 ADJ'!F14</f>
        <v>-484377.91</v>
      </c>
      <c r="L16" s="289"/>
      <c r="M16" s="289"/>
      <c r="N16" s="289"/>
      <c r="O16" s="314">
        <f t="shared" si="0"/>
        <v>0</v>
      </c>
      <c r="P16" s="72"/>
      <c r="Q16" s="72"/>
      <c r="R16" s="72"/>
      <c r="S16" s="72"/>
      <c r="T16" s="72"/>
      <c r="U16" s="72"/>
      <c r="V16" s="72"/>
    </row>
    <row r="17" spans="1:22">
      <c r="A17">
        <v>5</v>
      </c>
      <c r="B17" t="s">
        <v>728</v>
      </c>
      <c r="C17" s="2">
        <v>808.1</v>
      </c>
      <c r="D17" s="426">
        <f>'H-1'!P17</f>
        <v>3204286.87</v>
      </c>
      <c r="E17" s="314">
        <f>'H-1 ADJ'!F15</f>
        <v>-3204286.87</v>
      </c>
      <c r="L17" s="289"/>
      <c r="M17" s="289"/>
      <c r="N17" s="289"/>
      <c r="O17" s="314">
        <f t="shared" si="0"/>
        <v>0</v>
      </c>
      <c r="P17" s="72"/>
      <c r="Q17" s="72"/>
      <c r="R17" s="72"/>
      <c r="S17" s="72"/>
      <c r="T17" s="72"/>
      <c r="U17" s="72"/>
      <c r="V17" s="72"/>
    </row>
    <row r="18" spans="1:22">
      <c r="A18">
        <v>6</v>
      </c>
      <c r="B18" t="s">
        <v>729</v>
      </c>
      <c r="C18" s="2">
        <v>808.2</v>
      </c>
      <c r="D18" s="426">
        <f>'H-1'!P18</f>
        <v>-3188286.0700000003</v>
      </c>
      <c r="E18" s="314">
        <f>'H-1 ADJ'!F16</f>
        <v>3188286.07</v>
      </c>
      <c r="L18" s="289"/>
      <c r="M18" s="289"/>
      <c r="N18" s="289"/>
      <c r="O18" s="314">
        <f t="shared" si="0"/>
        <v>0</v>
      </c>
      <c r="P18" s="72"/>
      <c r="Q18" s="72"/>
      <c r="R18" s="72"/>
      <c r="S18" s="72"/>
      <c r="T18" s="72"/>
      <c r="U18" s="72"/>
      <c r="V18" s="72"/>
    </row>
    <row r="19" spans="1:22">
      <c r="A19">
        <v>7</v>
      </c>
      <c r="B19" t="s">
        <v>730</v>
      </c>
      <c r="C19" s="2">
        <v>810</v>
      </c>
      <c r="D19" s="426">
        <f>'H-1'!P19</f>
        <v>-370848.55000000005</v>
      </c>
      <c r="E19" s="314">
        <f>'H-1 ADJ'!F17</f>
        <v>370848.55000000005</v>
      </c>
      <c r="L19" s="289"/>
      <c r="M19" s="289"/>
      <c r="N19" s="289"/>
      <c r="O19" s="314">
        <f t="shared" si="0"/>
        <v>0</v>
      </c>
      <c r="P19" s="72"/>
      <c r="Q19" s="72"/>
      <c r="R19" s="72"/>
      <c r="S19" s="72"/>
      <c r="T19" s="72"/>
      <c r="U19" s="72"/>
      <c r="V19" s="72"/>
    </row>
    <row r="20" spans="1:22">
      <c r="A20">
        <v>8</v>
      </c>
      <c r="B20" t="s">
        <v>731</v>
      </c>
      <c r="C20" s="2">
        <v>812</v>
      </c>
      <c r="D20" s="426">
        <f>'H-1'!P20</f>
        <v>-127919.97999999998</v>
      </c>
      <c r="E20" s="314">
        <f>'H-1 ADJ'!F18</f>
        <v>127919.97999999998</v>
      </c>
      <c r="L20" s="289"/>
      <c r="M20" s="289"/>
      <c r="N20" s="289"/>
      <c r="O20" s="314">
        <f t="shared" si="0"/>
        <v>0</v>
      </c>
      <c r="P20" s="201"/>
      <c r="Q20" s="72"/>
      <c r="R20" s="72"/>
      <c r="S20" s="72"/>
      <c r="T20" s="72"/>
      <c r="U20" s="72"/>
      <c r="V20" s="72"/>
    </row>
    <row r="21" spans="1:22">
      <c r="A21">
        <v>9</v>
      </c>
      <c r="B21" t="s">
        <v>171</v>
      </c>
      <c r="C21" s="2">
        <v>813</v>
      </c>
      <c r="D21" s="427">
        <f>'H-1'!P21</f>
        <v>127919.97999999998</v>
      </c>
      <c r="E21" s="422">
        <f>'H-1 ADJ'!F19</f>
        <v>-127919.98</v>
      </c>
      <c r="F21" s="250"/>
      <c r="G21" s="250"/>
      <c r="H21" s="250"/>
      <c r="I21" s="250"/>
      <c r="J21" s="250"/>
      <c r="K21" s="250"/>
      <c r="L21" s="420"/>
      <c r="M21" s="420"/>
      <c r="N21" s="420"/>
      <c r="O21" s="422">
        <f t="shared" si="0"/>
        <v>0</v>
      </c>
      <c r="P21" s="201"/>
      <c r="Q21" s="72"/>
      <c r="R21" s="72"/>
      <c r="S21" s="72"/>
      <c r="T21" s="72"/>
      <c r="U21" s="72"/>
      <c r="V21" s="72"/>
    </row>
    <row r="22" spans="1:22" ht="13.5" thickBot="1">
      <c r="A22">
        <v>10</v>
      </c>
      <c r="B22" t="s">
        <v>173</v>
      </c>
      <c r="C22" s="2"/>
      <c r="D22" s="589">
        <f>SUM(D15:D21)</f>
        <v>129530.15999999992</v>
      </c>
      <c r="E22" s="423">
        <f t="shared" ref="E22:O22" si="1">SUM(E15:E21)</f>
        <v>-129530.1600000004</v>
      </c>
      <c r="F22" s="415">
        <f t="shared" si="1"/>
        <v>0</v>
      </c>
      <c r="G22" s="415">
        <f t="shared" si="1"/>
        <v>0</v>
      </c>
      <c r="H22" s="415">
        <f t="shared" si="1"/>
        <v>0</v>
      </c>
      <c r="I22" s="415">
        <f>SUM(I15:I21)</f>
        <v>0</v>
      </c>
      <c r="J22" s="415">
        <f t="shared" si="1"/>
        <v>0</v>
      </c>
      <c r="K22" s="415">
        <f t="shared" si="1"/>
        <v>0</v>
      </c>
      <c r="L22" s="415">
        <f t="shared" si="1"/>
        <v>0</v>
      </c>
      <c r="M22" s="415">
        <f t="shared" si="1"/>
        <v>0</v>
      </c>
      <c r="N22" s="415">
        <f t="shared" si="1"/>
        <v>0</v>
      </c>
      <c r="O22" s="415">
        <f t="shared" si="1"/>
        <v>0</v>
      </c>
      <c r="P22" s="424"/>
      <c r="Q22" s="72"/>
      <c r="R22" s="72"/>
      <c r="S22" s="72"/>
      <c r="T22" s="72"/>
      <c r="U22" s="72"/>
      <c r="V22" s="72"/>
    </row>
    <row r="23" spans="1:22" ht="13.5" thickTop="1">
      <c r="A23"/>
      <c r="B23"/>
      <c r="C23" s="2"/>
      <c r="D23" s="424"/>
      <c r="E23" s="425"/>
      <c r="F23" s="424"/>
      <c r="G23" s="424"/>
      <c r="H23" s="424"/>
      <c r="I23" s="424"/>
      <c r="J23" s="424"/>
      <c r="K23" s="424"/>
      <c r="L23" s="424"/>
      <c r="M23" s="424"/>
      <c r="N23" s="424"/>
      <c r="O23" s="424"/>
      <c r="P23" s="424"/>
      <c r="Q23" s="72"/>
      <c r="R23" s="72"/>
      <c r="S23" s="72"/>
      <c r="T23" s="72"/>
      <c r="U23" s="72"/>
      <c r="V23" s="72"/>
    </row>
    <row r="24" spans="1:22">
      <c r="A24" s="520">
        <f>A22+1</f>
        <v>11</v>
      </c>
      <c r="B24" s="517" t="s">
        <v>181</v>
      </c>
      <c r="C24" s="497"/>
      <c r="D24" s="424"/>
      <c r="E24" s="425"/>
      <c r="F24" s="424"/>
      <c r="G24" s="424"/>
      <c r="H24" s="424"/>
      <c r="I24" s="424"/>
      <c r="J24" s="424"/>
      <c r="K24" s="424"/>
      <c r="L24" s="424"/>
      <c r="M24" s="424"/>
      <c r="N24" s="424"/>
      <c r="O24" s="424"/>
      <c r="P24" s="424"/>
      <c r="Q24" s="72"/>
      <c r="R24" s="72"/>
      <c r="S24" s="72"/>
      <c r="T24" s="72"/>
      <c r="U24" s="72"/>
      <c r="V24" s="72"/>
    </row>
    <row r="25" spans="1:22">
      <c r="A25" s="542">
        <f>A24+1</f>
        <v>12</v>
      </c>
      <c r="B25" s="583" t="s">
        <v>135</v>
      </c>
      <c r="C25" s="497"/>
      <c r="D25" s="424"/>
      <c r="E25" s="425"/>
      <c r="F25" s="424"/>
      <c r="G25" s="424"/>
      <c r="H25" s="424"/>
      <c r="I25" s="424"/>
      <c r="J25" s="424"/>
      <c r="K25" s="424"/>
      <c r="L25" s="424"/>
      <c r="M25" s="424"/>
      <c r="N25" s="424"/>
      <c r="O25" s="424"/>
      <c r="P25" s="424"/>
      <c r="Q25" s="72"/>
      <c r="R25" s="72"/>
      <c r="S25" s="72"/>
      <c r="T25" s="72"/>
      <c r="U25" s="72"/>
      <c r="V25" s="72"/>
    </row>
    <row r="26" spans="1:22">
      <c r="A26" s="542">
        <f t="shared" ref="A26:A46" si="2">A25+1</f>
        <v>13</v>
      </c>
      <c r="B26" s="513" t="s">
        <v>162</v>
      </c>
      <c r="C26" s="132">
        <v>850</v>
      </c>
      <c r="D26" s="345">
        <f>'H-1'!P26</f>
        <v>421813.51999999996</v>
      </c>
      <c r="E26" s="268"/>
      <c r="F26" s="345"/>
      <c r="G26" s="268"/>
      <c r="H26" s="321"/>
      <c r="I26" s="268"/>
      <c r="J26" s="321">
        <f>'H-1 ADJ'!F63</f>
        <v>7519.0452000000005</v>
      </c>
      <c r="K26" s="268"/>
      <c r="L26" s="289"/>
      <c r="M26" s="289"/>
      <c r="N26" s="289"/>
      <c r="O26" s="314">
        <f t="shared" ref="O26:O36" si="3">SUM(D26:N26)</f>
        <v>429332.56519999995</v>
      </c>
      <c r="P26" s="201"/>
      <c r="R26" s="72"/>
      <c r="S26" s="72"/>
      <c r="T26" s="72"/>
      <c r="U26" s="72"/>
      <c r="V26" s="72"/>
    </row>
    <row r="27" spans="1:22">
      <c r="A27" s="542">
        <f t="shared" si="2"/>
        <v>14</v>
      </c>
      <c r="B27" s="513" t="s">
        <v>163</v>
      </c>
      <c r="C27" s="132">
        <v>851</v>
      </c>
      <c r="D27" s="345">
        <f>'H-1'!P27</f>
        <v>2126.16</v>
      </c>
      <c r="E27" s="268"/>
      <c r="F27" s="268"/>
      <c r="G27" s="268"/>
      <c r="H27" s="268"/>
      <c r="I27" s="268"/>
      <c r="J27" s="321"/>
      <c r="K27" s="268"/>
      <c r="L27" s="289"/>
      <c r="M27" s="289"/>
      <c r="N27" s="289"/>
      <c r="O27" s="314">
        <f t="shared" si="3"/>
        <v>2126.16</v>
      </c>
      <c r="P27" s="72"/>
      <c r="R27" s="72"/>
      <c r="S27" s="72"/>
      <c r="T27" s="72"/>
      <c r="U27" s="72"/>
      <c r="V27" s="72"/>
    </row>
    <row r="28" spans="1:22">
      <c r="A28" s="542">
        <f t="shared" si="2"/>
        <v>15</v>
      </c>
      <c r="B28" s="513" t="s">
        <v>164</v>
      </c>
      <c r="C28" s="132">
        <v>852</v>
      </c>
      <c r="D28" s="345">
        <f>'H-1'!P28</f>
        <v>100921.65</v>
      </c>
      <c r="E28" s="268"/>
      <c r="F28" s="268"/>
      <c r="G28" s="268"/>
      <c r="H28" s="268"/>
      <c r="I28" s="268"/>
      <c r="J28" s="321"/>
      <c r="K28" s="268"/>
      <c r="L28" s="289"/>
      <c r="M28" s="289"/>
      <c r="N28" s="289"/>
      <c r="O28" s="314">
        <f t="shared" si="3"/>
        <v>100921.65</v>
      </c>
      <c r="P28" s="72"/>
      <c r="R28" s="72"/>
      <c r="S28" s="72"/>
      <c r="T28" s="72"/>
      <c r="U28" s="72"/>
      <c r="V28" s="72"/>
    </row>
    <row r="29" spans="1:22">
      <c r="A29" s="542">
        <f t="shared" si="2"/>
        <v>16</v>
      </c>
      <c r="B29" s="513" t="s">
        <v>152</v>
      </c>
      <c r="C29" s="132">
        <v>853</v>
      </c>
      <c r="D29" s="345">
        <f>'H-1'!P29</f>
        <v>344463.17000000004</v>
      </c>
      <c r="E29" s="268"/>
      <c r="F29" s="268"/>
      <c r="G29" s="268"/>
      <c r="H29" s="268"/>
      <c r="I29" s="268"/>
      <c r="J29" s="321">
        <f>'H-1 ADJ'!F64</f>
        <v>6539.5293000000011</v>
      </c>
      <c r="K29" s="268"/>
      <c r="L29" s="289"/>
      <c r="M29" s="289"/>
      <c r="N29" s="289"/>
      <c r="O29" s="314">
        <f t="shared" si="3"/>
        <v>351002.69930000004</v>
      </c>
      <c r="P29" s="72"/>
      <c r="R29" s="72"/>
      <c r="S29" s="72"/>
      <c r="T29" s="72"/>
      <c r="U29" s="72"/>
      <c r="V29" s="72"/>
    </row>
    <row r="30" spans="1:22">
      <c r="A30" s="542">
        <f t="shared" si="2"/>
        <v>17</v>
      </c>
      <c r="B30" s="513" t="s">
        <v>153</v>
      </c>
      <c r="C30" s="132">
        <v>854</v>
      </c>
      <c r="D30" s="345">
        <f>'H-1'!P30</f>
        <v>370848.55000000005</v>
      </c>
      <c r="F30" s="321">
        <f>'H-1 ADJ'!F27</f>
        <v>-370848.55</v>
      </c>
      <c r="G30" s="485">
        <v>0</v>
      </c>
      <c r="H30" s="268"/>
      <c r="I30" s="268"/>
      <c r="J30" s="321"/>
      <c r="K30" s="268"/>
      <c r="L30" s="289"/>
      <c r="M30" s="289"/>
      <c r="N30" s="289"/>
      <c r="O30" s="314">
        <v>0</v>
      </c>
      <c r="P30" s="72"/>
      <c r="R30" s="72"/>
      <c r="S30" s="72"/>
      <c r="T30" s="72"/>
      <c r="U30" s="72"/>
      <c r="V30" s="72"/>
    </row>
    <row r="31" spans="1:22">
      <c r="A31" s="542">
        <f t="shared" si="2"/>
        <v>18</v>
      </c>
      <c r="B31" s="513" t="s">
        <v>154</v>
      </c>
      <c r="C31" s="132">
        <v>855</v>
      </c>
      <c r="D31" s="345">
        <f>'H-1'!P31</f>
        <v>0</v>
      </c>
      <c r="E31" s="268"/>
      <c r="F31" s="268"/>
      <c r="G31" s="268"/>
      <c r="H31" s="268"/>
      <c r="I31" s="268"/>
      <c r="J31" s="321"/>
      <c r="K31" s="268"/>
      <c r="L31" s="289"/>
      <c r="M31" s="289"/>
      <c r="N31" s="289"/>
      <c r="O31" s="314">
        <f t="shared" si="3"/>
        <v>0</v>
      </c>
      <c r="P31" s="72"/>
      <c r="R31" s="72"/>
      <c r="S31" s="72"/>
      <c r="T31" s="72"/>
      <c r="U31" s="72"/>
      <c r="V31" s="72"/>
    </row>
    <row r="32" spans="1:22">
      <c r="A32" s="542">
        <f t="shared" si="2"/>
        <v>19</v>
      </c>
      <c r="B32" s="513" t="s">
        <v>155</v>
      </c>
      <c r="C32" s="132">
        <v>856</v>
      </c>
      <c r="D32" s="345">
        <f>'H-1'!P32</f>
        <v>154456.84999999998</v>
      </c>
      <c r="E32" s="268"/>
      <c r="F32" s="268"/>
      <c r="G32" s="268"/>
      <c r="H32" s="268"/>
      <c r="I32" s="268"/>
      <c r="J32" s="321">
        <f>'H-1 ADJ'!F65</f>
        <v>867.68579999999963</v>
      </c>
      <c r="K32" s="268"/>
      <c r="L32" s="289"/>
      <c r="M32" s="289"/>
      <c r="N32" s="289"/>
      <c r="O32" s="314">
        <f t="shared" si="3"/>
        <v>155324.53579999998</v>
      </c>
      <c r="P32" s="72"/>
      <c r="R32" s="72"/>
      <c r="S32" s="72"/>
      <c r="T32" s="72"/>
      <c r="U32" s="72"/>
      <c r="V32" s="72"/>
    </row>
    <row r="33" spans="1:22">
      <c r="A33" s="542">
        <f t="shared" si="2"/>
        <v>20</v>
      </c>
      <c r="B33" s="513" t="s">
        <v>156</v>
      </c>
      <c r="C33" s="132">
        <v>857</v>
      </c>
      <c r="D33" s="345">
        <f>'H-1'!P33</f>
        <v>87666.079999999987</v>
      </c>
      <c r="E33" s="268"/>
      <c r="F33" s="268"/>
      <c r="G33" s="268"/>
      <c r="H33" s="268"/>
      <c r="I33" s="268"/>
      <c r="J33" s="321">
        <f>'H-1 ADJ'!F66</f>
        <v>2280.6284999999998</v>
      </c>
      <c r="K33" s="268"/>
      <c r="L33" s="289"/>
      <c r="M33" s="289"/>
      <c r="N33" s="289"/>
      <c r="O33" s="314">
        <f t="shared" si="3"/>
        <v>89946.708499999993</v>
      </c>
      <c r="P33" s="72"/>
      <c r="R33" s="72"/>
      <c r="S33" s="72"/>
      <c r="T33" s="72"/>
      <c r="U33" s="72"/>
      <c r="V33" s="72"/>
    </row>
    <row r="34" spans="1:22">
      <c r="A34" s="542">
        <f t="shared" si="2"/>
        <v>21</v>
      </c>
      <c r="B34" s="513" t="s">
        <v>157</v>
      </c>
      <c r="C34" s="132">
        <v>858</v>
      </c>
      <c r="D34" s="345">
        <f>'H-1'!P34</f>
        <v>0</v>
      </c>
      <c r="E34" s="268"/>
      <c r="F34" s="268"/>
      <c r="G34" s="268"/>
      <c r="H34" s="268"/>
      <c r="I34" s="268"/>
      <c r="J34" s="321"/>
      <c r="K34" s="268"/>
      <c r="L34" s="289"/>
      <c r="M34" s="289"/>
      <c r="N34" s="289"/>
      <c r="O34" s="314">
        <f t="shared" si="3"/>
        <v>0</v>
      </c>
      <c r="P34" s="72"/>
      <c r="R34" s="72"/>
      <c r="S34" s="72"/>
      <c r="T34" s="72"/>
      <c r="U34" s="72"/>
      <c r="V34" s="72"/>
    </row>
    <row r="35" spans="1:22">
      <c r="A35" s="542">
        <f t="shared" si="2"/>
        <v>22</v>
      </c>
      <c r="B35" s="513" t="s">
        <v>158</v>
      </c>
      <c r="C35" s="132">
        <v>859</v>
      </c>
      <c r="D35" s="345">
        <f>'H-1'!P35</f>
        <v>18900.350000000002</v>
      </c>
      <c r="E35" s="268"/>
      <c r="F35" s="268"/>
      <c r="G35" s="268"/>
      <c r="H35" s="268"/>
      <c r="I35" s="268"/>
      <c r="J35" s="321">
        <f>'H-1 ADJ'!F67</f>
        <v>492.88</v>
      </c>
      <c r="K35" s="268"/>
      <c r="L35" s="289"/>
      <c r="M35" s="289"/>
      <c r="N35" s="289"/>
      <c r="O35" s="314">
        <f t="shared" si="3"/>
        <v>19393.230000000003</v>
      </c>
      <c r="P35" s="72"/>
      <c r="R35" s="72"/>
      <c r="S35" s="72"/>
      <c r="T35" s="72"/>
      <c r="U35" s="72"/>
      <c r="V35" s="72"/>
    </row>
    <row r="36" spans="1:22">
      <c r="A36" s="542">
        <f t="shared" si="2"/>
        <v>23</v>
      </c>
      <c r="B36" s="513" t="s">
        <v>150</v>
      </c>
      <c r="C36" s="132">
        <v>860</v>
      </c>
      <c r="D36" s="345">
        <f>'H-1'!P36</f>
        <v>59112.3</v>
      </c>
      <c r="K36" s="268"/>
      <c r="L36" s="289"/>
      <c r="M36" s="289"/>
      <c r="N36" s="289"/>
      <c r="O36" s="314">
        <f t="shared" si="3"/>
        <v>59112.3</v>
      </c>
      <c r="P36" s="72"/>
      <c r="R36" s="72"/>
      <c r="S36" s="72"/>
      <c r="T36" s="72"/>
      <c r="U36" s="72"/>
      <c r="V36" s="72"/>
    </row>
    <row r="37" spans="1:22" ht="13.5" thickBot="1">
      <c r="A37" s="542">
        <f t="shared" si="2"/>
        <v>24</v>
      </c>
      <c r="B37" s="513"/>
      <c r="C37" s="132"/>
      <c r="D37" s="346">
        <f t="shared" ref="D37:N37" si="4">SUM(D26:D36)</f>
        <v>1560308.6300000001</v>
      </c>
      <c r="E37" s="346">
        <f t="shared" si="4"/>
        <v>0</v>
      </c>
      <c r="F37" s="346">
        <f t="shared" si="4"/>
        <v>-370848.55</v>
      </c>
      <c r="G37" s="346">
        <f t="shared" si="4"/>
        <v>0</v>
      </c>
      <c r="H37" s="346">
        <f t="shared" si="4"/>
        <v>0</v>
      </c>
      <c r="I37" s="428">
        <f t="shared" si="4"/>
        <v>0</v>
      </c>
      <c r="J37" s="346">
        <f t="shared" si="4"/>
        <v>17699.768800000002</v>
      </c>
      <c r="K37" s="428">
        <f t="shared" si="4"/>
        <v>0</v>
      </c>
      <c r="L37" s="292">
        <f t="shared" si="4"/>
        <v>0</v>
      </c>
      <c r="M37" s="292">
        <f t="shared" si="4"/>
        <v>0</v>
      </c>
      <c r="N37" s="292">
        <f t="shared" si="4"/>
        <v>0</v>
      </c>
      <c r="O37" s="347">
        <f>SUM(O26:O36)</f>
        <v>1207159.8487999998</v>
      </c>
      <c r="P37" s="72"/>
      <c r="R37" s="72"/>
      <c r="S37" s="72"/>
      <c r="T37" s="72"/>
      <c r="U37" s="72"/>
      <c r="V37" s="72"/>
    </row>
    <row r="38" spans="1:22" ht="13.5" thickTop="1">
      <c r="A38" s="542">
        <f t="shared" si="2"/>
        <v>25</v>
      </c>
      <c r="B38" s="130" t="s">
        <v>136</v>
      </c>
      <c r="C38" s="132"/>
      <c r="L38" s="289"/>
      <c r="M38" s="289"/>
      <c r="N38" s="289"/>
      <c r="O38" s="314"/>
      <c r="P38" s="72"/>
      <c r="R38" s="72"/>
      <c r="S38" s="72"/>
      <c r="T38" s="72"/>
      <c r="U38" s="72"/>
      <c r="V38" s="72"/>
    </row>
    <row r="39" spans="1:22">
      <c r="A39" s="542">
        <f t="shared" si="2"/>
        <v>26</v>
      </c>
      <c r="B39" s="72" t="s">
        <v>183</v>
      </c>
      <c r="C39" s="132">
        <v>861</v>
      </c>
      <c r="D39" s="345">
        <f>'H-1'!P39</f>
        <v>0</v>
      </c>
      <c r="L39" s="289"/>
      <c r="M39" s="289"/>
      <c r="N39" s="289"/>
      <c r="O39" s="314">
        <f t="shared" ref="O39:O45" si="5">SUM(D39:N39)</f>
        <v>0</v>
      </c>
      <c r="P39" s="72"/>
      <c r="R39" s="72"/>
      <c r="S39" s="72"/>
      <c r="T39" s="72"/>
      <c r="U39" s="72"/>
      <c r="V39" s="72"/>
    </row>
    <row r="40" spans="1:22">
      <c r="A40" s="542">
        <f t="shared" si="2"/>
        <v>27</v>
      </c>
      <c r="B40" s="72" t="s">
        <v>184</v>
      </c>
      <c r="C40" s="132">
        <v>862</v>
      </c>
      <c r="D40" s="345">
        <f>'H-1'!P40</f>
        <v>0</v>
      </c>
      <c r="L40" s="277"/>
      <c r="M40" s="277"/>
      <c r="N40" s="277"/>
      <c r="O40" s="314">
        <f t="shared" si="5"/>
        <v>0</v>
      </c>
      <c r="P40" s="72"/>
      <c r="R40" s="72"/>
      <c r="S40" s="72"/>
      <c r="T40" s="72"/>
      <c r="U40" s="72"/>
      <c r="V40" s="72"/>
    </row>
    <row r="41" spans="1:22">
      <c r="A41" s="542">
        <f t="shared" si="2"/>
        <v>28</v>
      </c>
      <c r="B41" s="72" t="s">
        <v>185</v>
      </c>
      <c r="C41" s="132">
        <v>863</v>
      </c>
      <c r="D41" s="345">
        <f>'H-1'!P41</f>
        <v>1137193.1999999997</v>
      </c>
      <c r="J41" s="317">
        <f>'H-1 ADJ'!F68</f>
        <v>7888.7775000000001</v>
      </c>
      <c r="L41" s="277"/>
      <c r="M41" s="277"/>
      <c r="N41" s="277"/>
      <c r="O41" s="314">
        <f t="shared" si="5"/>
        <v>1145081.9774999998</v>
      </c>
      <c r="P41" s="72"/>
      <c r="R41" s="72"/>
      <c r="S41" s="72"/>
      <c r="T41" s="72"/>
      <c r="U41" s="72"/>
      <c r="V41" s="72"/>
    </row>
    <row r="42" spans="1:22">
      <c r="A42" s="542">
        <f t="shared" si="2"/>
        <v>29</v>
      </c>
      <c r="B42" s="72" t="s">
        <v>186</v>
      </c>
      <c r="C42" s="132">
        <v>864</v>
      </c>
      <c r="D42" s="345">
        <f>'H-1'!P42</f>
        <v>659.56</v>
      </c>
      <c r="J42" s="317">
        <f>'H-1 ADJ'!F69</f>
        <v>19.786799999999996</v>
      </c>
      <c r="L42" s="277"/>
      <c r="M42" s="277"/>
      <c r="N42" s="277"/>
      <c r="O42" s="314">
        <f t="shared" si="5"/>
        <v>679.34679999999992</v>
      </c>
      <c r="P42" s="72"/>
      <c r="R42" s="72"/>
      <c r="S42" s="72"/>
      <c r="T42" s="72"/>
      <c r="U42" s="72"/>
      <c r="V42" s="72"/>
    </row>
    <row r="43" spans="1:22">
      <c r="A43" s="542">
        <f t="shared" si="2"/>
        <v>30</v>
      </c>
      <c r="B43" s="72" t="s">
        <v>187</v>
      </c>
      <c r="C43" s="132">
        <v>865</v>
      </c>
      <c r="D43" s="345">
        <f>'H-1'!P43</f>
        <v>0</v>
      </c>
      <c r="L43" s="277"/>
      <c r="M43" s="277"/>
      <c r="N43" s="277"/>
      <c r="O43" s="314">
        <f t="shared" si="5"/>
        <v>0</v>
      </c>
      <c r="P43" s="72"/>
      <c r="R43" s="72"/>
      <c r="S43" s="72"/>
      <c r="T43" s="72"/>
      <c r="U43" s="72"/>
      <c r="V43" s="72"/>
    </row>
    <row r="44" spans="1:22">
      <c r="A44" s="542">
        <f t="shared" si="2"/>
        <v>31</v>
      </c>
      <c r="B44" s="72" t="s">
        <v>165</v>
      </c>
      <c r="C44" s="132">
        <v>866</v>
      </c>
      <c r="D44" s="345">
        <f>'H-1'!P44</f>
        <v>0</v>
      </c>
      <c r="L44" s="277"/>
      <c r="M44" s="277"/>
      <c r="N44" s="277"/>
      <c r="O44" s="314">
        <f t="shared" si="5"/>
        <v>0</v>
      </c>
      <c r="P44" s="72"/>
      <c r="R44" s="72"/>
      <c r="S44" s="72"/>
      <c r="T44" s="72"/>
      <c r="U44" s="72"/>
      <c r="V44" s="72"/>
    </row>
    <row r="45" spans="1:22">
      <c r="A45" s="542">
        <f t="shared" si="2"/>
        <v>32</v>
      </c>
      <c r="B45" s="72" t="s">
        <v>188</v>
      </c>
      <c r="C45" s="132">
        <v>867</v>
      </c>
      <c r="D45" s="345">
        <f>'H-1'!P45</f>
        <v>0</v>
      </c>
      <c r="F45" s="314"/>
      <c r="G45" s="314"/>
      <c r="H45" s="314"/>
      <c r="L45" s="277"/>
      <c r="M45" s="277"/>
      <c r="N45" s="277"/>
      <c r="O45" s="314">
        <f t="shared" si="5"/>
        <v>0</v>
      </c>
      <c r="P45" s="72"/>
      <c r="R45" s="72"/>
      <c r="S45" s="72"/>
      <c r="T45" s="72"/>
      <c r="U45" s="72"/>
      <c r="V45" s="72"/>
    </row>
    <row r="46" spans="1:22" ht="13.5" thickBot="1">
      <c r="A46" s="542">
        <f t="shared" si="2"/>
        <v>33</v>
      </c>
      <c r="C46" s="132"/>
      <c r="D46" s="346">
        <f>SUM(D39:D45)</f>
        <v>1137852.7599999998</v>
      </c>
      <c r="E46" s="346">
        <f t="shared" ref="E46:N46" si="6">SUM(E39:E45)</f>
        <v>0</v>
      </c>
      <c r="F46" s="346">
        <f t="shared" si="6"/>
        <v>0</v>
      </c>
      <c r="G46" s="346">
        <f t="shared" si="6"/>
        <v>0</v>
      </c>
      <c r="H46" s="346">
        <f t="shared" si="6"/>
        <v>0</v>
      </c>
      <c r="I46" s="346">
        <f t="shared" si="6"/>
        <v>0</v>
      </c>
      <c r="J46" s="346">
        <f t="shared" si="6"/>
        <v>7908.5643</v>
      </c>
      <c r="K46" s="346">
        <f t="shared" si="6"/>
        <v>0</v>
      </c>
      <c r="L46" s="292">
        <f t="shared" si="6"/>
        <v>0</v>
      </c>
      <c r="M46" s="292">
        <f t="shared" si="6"/>
        <v>0</v>
      </c>
      <c r="N46" s="292">
        <f t="shared" si="6"/>
        <v>0</v>
      </c>
      <c r="O46" s="347">
        <f>SUM(O39:O45)</f>
        <v>1145761.3242999997</v>
      </c>
      <c r="P46" s="72"/>
      <c r="R46" s="72"/>
      <c r="S46" s="72"/>
      <c r="T46" s="72"/>
      <c r="U46" s="72"/>
      <c r="V46" s="72"/>
    </row>
    <row r="47" spans="1:22" ht="13.5" thickTop="1">
      <c r="A47"/>
      <c r="B47" s="130"/>
      <c r="C47" s="132"/>
      <c r="L47" s="289"/>
      <c r="M47" s="289"/>
      <c r="N47" s="289"/>
      <c r="O47" s="314"/>
      <c r="P47" s="72"/>
      <c r="R47" s="72"/>
      <c r="S47" s="72"/>
      <c r="T47" s="72"/>
      <c r="U47" s="72"/>
      <c r="V47" s="72"/>
    </row>
    <row r="48" spans="1:22" ht="13.5" thickBot="1">
      <c r="A48">
        <f>+A46+1</f>
        <v>34</v>
      </c>
      <c r="B48" s="130" t="s">
        <v>138</v>
      </c>
      <c r="C48" s="132"/>
      <c r="D48" s="346">
        <f t="shared" ref="D48:N48" si="7">+D37+D46</f>
        <v>2698161.3899999997</v>
      </c>
      <c r="E48" s="346">
        <f t="shared" si="7"/>
        <v>0</v>
      </c>
      <c r="F48" s="346">
        <f t="shared" si="7"/>
        <v>-370848.55</v>
      </c>
      <c r="G48" s="346">
        <f t="shared" si="7"/>
        <v>0</v>
      </c>
      <c r="H48" s="346">
        <f t="shared" si="7"/>
        <v>0</v>
      </c>
      <c r="I48" s="346">
        <f t="shared" si="7"/>
        <v>0</v>
      </c>
      <c r="J48" s="346">
        <f t="shared" si="7"/>
        <v>25608.333100000003</v>
      </c>
      <c r="K48" s="346">
        <f t="shared" si="7"/>
        <v>0</v>
      </c>
      <c r="L48" s="292">
        <f t="shared" si="7"/>
        <v>0</v>
      </c>
      <c r="M48" s="292">
        <f t="shared" si="7"/>
        <v>0</v>
      </c>
      <c r="N48" s="292">
        <f t="shared" si="7"/>
        <v>0</v>
      </c>
      <c r="O48" s="346">
        <f>+O37+O46</f>
        <v>2352921.1730999993</v>
      </c>
      <c r="P48" s="72"/>
      <c r="R48" s="72"/>
      <c r="S48" s="72"/>
      <c r="T48" s="72"/>
      <c r="U48" s="72"/>
      <c r="V48" s="72"/>
    </row>
    <row r="49" spans="1:22" ht="13.5" thickTop="1">
      <c r="A49"/>
      <c r="B49" s="130"/>
      <c r="C49" s="498"/>
      <c r="D49" s="425"/>
      <c r="E49" s="425"/>
      <c r="F49" s="425"/>
      <c r="G49" s="425"/>
      <c r="H49" s="425"/>
      <c r="I49" s="425"/>
      <c r="J49" s="425"/>
      <c r="K49" s="531"/>
      <c r="L49" s="584"/>
      <c r="M49" s="584"/>
      <c r="N49" s="584"/>
      <c r="O49" s="425"/>
      <c r="P49" s="72"/>
      <c r="R49" s="72"/>
      <c r="S49" s="72"/>
      <c r="T49" s="72"/>
      <c r="U49" s="72"/>
      <c r="V49" s="72"/>
    </row>
    <row r="50" spans="1:22">
      <c r="A50">
        <f>+A48+1</f>
        <v>35</v>
      </c>
      <c r="B50" s="130" t="s">
        <v>139</v>
      </c>
      <c r="C50" s="132"/>
      <c r="L50" s="289"/>
      <c r="M50" s="289"/>
      <c r="N50" s="289"/>
      <c r="O50" s="314"/>
      <c r="P50" s="72"/>
      <c r="R50" s="72"/>
      <c r="S50" s="72"/>
      <c r="T50" s="72"/>
      <c r="U50" s="72"/>
      <c r="V50" s="72"/>
    </row>
    <row r="51" spans="1:22">
      <c r="A51">
        <f>+A50+1</f>
        <v>36</v>
      </c>
      <c r="B51" s="72" t="s">
        <v>140</v>
      </c>
      <c r="C51" s="132">
        <v>904</v>
      </c>
      <c r="D51" s="345">
        <f>'H-1'!P51</f>
        <v>0</v>
      </c>
      <c r="L51" s="289"/>
      <c r="M51" s="289"/>
      <c r="N51" s="289"/>
      <c r="O51" s="314">
        <f t="shared" ref="O51:O63" si="8">SUM(D51:N51)</f>
        <v>0</v>
      </c>
      <c r="P51" s="72"/>
      <c r="R51" s="72"/>
      <c r="S51" s="72"/>
      <c r="T51" s="72"/>
      <c r="U51" s="72"/>
      <c r="V51" s="72"/>
    </row>
    <row r="52" spans="1:22">
      <c r="A52">
        <f t="shared" ref="A52:A66" si="9">+A51+1</f>
        <v>37</v>
      </c>
      <c r="B52" s="72" t="s">
        <v>141</v>
      </c>
      <c r="C52" s="132">
        <v>920</v>
      </c>
      <c r="D52" s="345">
        <f>'H-1'!P52</f>
        <v>0</v>
      </c>
      <c r="L52" s="289"/>
      <c r="M52" s="289"/>
      <c r="N52" s="289"/>
      <c r="O52" s="314">
        <f t="shared" si="8"/>
        <v>0</v>
      </c>
      <c r="P52" s="72"/>
      <c r="R52" s="72"/>
      <c r="S52" s="72"/>
      <c r="T52" s="72"/>
      <c r="U52" s="72"/>
      <c r="V52" s="72"/>
    </row>
    <row r="53" spans="1:22">
      <c r="A53">
        <f t="shared" si="9"/>
        <v>38</v>
      </c>
      <c r="B53" s="72" t="s">
        <v>142</v>
      </c>
      <c r="C53" s="132">
        <v>921</v>
      </c>
      <c r="D53" s="345">
        <f>'H-1'!P53</f>
        <v>0</v>
      </c>
      <c r="L53" s="289"/>
      <c r="M53" s="289"/>
      <c r="N53" s="289"/>
      <c r="O53" s="314">
        <f t="shared" si="8"/>
        <v>0</v>
      </c>
      <c r="P53" s="72"/>
      <c r="R53" s="72"/>
      <c r="S53" s="72"/>
      <c r="T53" s="72"/>
      <c r="U53" s="72"/>
      <c r="V53" s="72"/>
    </row>
    <row r="54" spans="1:22">
      <c r="A54">
        <f t="shared" si="9"/>
        <v>39</v>
      </c>
      <c r="B54" s="72" t="s">
        <v>143</v>
      </c>
      <c r="C54" s="132">
        <v>922</v>
      </c>
      <c r="D54" s="345">
        <f>'H-1'!P54</f>
        <v>0</v>
      </c>
      <c r="L54" s="289"/>
      <c r="M54" s="289"/>
      <c r="N54" s="289"/>
      <c r="O54" s="314">
        <f t="shared" si="8"/>
        <v>0</v>
      </c>
      <c r="P54" s="72"/>
      <c r="R54" s="72"/>
      <c r="S54" s="72"/>
      <c r="T54" s="72"/>
      <c r="U54" s="72"/>
      <c r="V54" s="72"/>
    </row>
    <row r="55" spans="1:22">
      <c r="A55">
        <f t="shared" si="9"/>
        <v>40</v>
      </c>
      <c r="B55" s="72" t="s">
        <v>144</v>
      </c>
      <c r="C55" s="132">
        <v>923</v>
      </c>
      <c r="D55" s="345">
        <f>'H-1'!P55</f>
        <v>3331016.0199999986</v>
      </c>
      <c r="F55" s="314">
        <f>'H-1 ADJ'!F42</f>
        <v>0</v>
      </c>
      <c r="G55" s="314">
        <f>'H-1 ADJ'!F40</f>
        <v>139341.573339</v>
      </c>
      <c r="H55" s="314">
        <v>0</v>
      </c>
      <c r="J55" s="317">
        <f>'H-1 ADJ'!F70</f>
        <v>58097.02</v>
      </c>
      <c r="L55" s="289"/>
      <c r="M55" s="289"/>
      <c r="N55" s="289"/>
      <c r="O55" s="314">
        <f t="shared" si="8"/>
        <v>3528454.6133389985</v>
      </c>
      <c r="P55" s="72"/>
      <c r="R55" s="72"/>
      <c r="S55" s="72"/>
      <c r="T55" s="72"/>
      <c r="U55" s="72"/>
      <c r="V55" s="72"/>
    </row>
    <row r="56" spans="1:22">
      <c r="A56">
        <f t="shared" si="9"/>
        <v>41</v>
      </c>
      <c r="B56" s="72" t="s">
        <v>145</v>
      </c>
      <c r="C56" s="132">
        <v>924</v>
      </c>
      <c r="D56" s="345">
        <f>'H-1'!P56</f>
        <v>26922.579999999994</v>
      </c>
      <c r="F56" s="314"/>
      <c r="G56" s="314"/>
      <c r="H56" s="314"/>
      <c r="L56" s="289"/>
      <c r="M56" s="289"/>
      <c r="N56" s="289"/>
      <c r="O56" s="314">
        <f t="shared" si="8"/>
        <v>26922.579999999994</v>
      </c>
      <c r="P56" s="72"/>
      <c r="R56" s="72"/>
      <c r="S56" s="72"/>
      <c r="T56" s="72"/>
      <c r="U56" s="72"/>
      <c r="V56" s="72"/>
    </row>
    <row r="57" spans="1:22">
      <c r="A57">
        <f t="shared" si="9"/>
        <v>42</v>
      </c>
      <c r="B57" s="72" t="s">
        <v>146</v>
      </c>
      <c r="C57" s="132">
        <v>925</v>
      </c>
      <c r="D57" s="345">
        <f>'H-1'!P57</f>
        <v>54853.759999999995</v>
      </c>
      <c r="F57" s="314"/>
      <c r="G57" s="314"/>
      <c r="H57" s="314"/>
      <c r="K57" s="317">
        <f>'H-1 ADJ'!F78</f>
        <v>400000</v>
      </c>
      <c r="L57" s="289"/>
      <c r="M57" s="289"/>
      <c r="N57" s="289"/>
      <c r="O57" s="314">
        <f t="shared" si="8"/>
        <v>454853.76</v>
      </c>
      <c r="P57" s="72"/>
      <c r="R57" s="72"/>
      <c r="S57" s="72"/>
      <c r="T57" s="72"/>
      <c r="U57" s="72"/>
      <c r="V57" s="72"/>
    </row>
    <row r="58" spans="1:22">
      <c r="A58">
        <f t="shared" si="9"/>
        <v>43</v>
      </c>
      <c r="B58" s="72" t="s">
        <v>147</v>
      </c>
      <c r="C58" s="132">
        <v>926</v>
      </c>
      <c r="D58" s="345">
        <f>'H-1'!P58</f>
        <v>0</v>
      </c>
      <c r="F58" s="314"/>
      <c r="G58" s="314">
        <v>0</v>
      </c>
      <c r="H58" s="314"/>
      <c r="L58" s="289"/>
      <c r="M58" s="289"/>
      <c r="N58" s="289"/>
      <c r="O58" s="314">
        <f t="shared" si="8"/>
        <v>0</v>
      </c>
      <c r="P58" s="72"/>
      <c r="R58" s="72"/>
      <c r="S58" s="72"/>
      <c r="T58" s="72"/>
      <c r="U58" s="72"/>
      <c r="V58" s="72"/>
    </row>
    <row r="59" spans="1:22">
      <c r="A59">
        <f t="shared" si="9"/>
        <v>44</v>
      </c>
      <c r="B59" s="72" t="s">
        <v>148</v>
      </c>
      <c r="C59" s="132">
        <v>928</v>
      </c>
      <c r="D59" s="345">
        <f>'H-1'!P59</f>
        <v>56410.61</v>
      </c>
      <c r="F59" s="314"/>
      <c r="G59" s="314">
        <f>'H-1 ADJ'!F26</f>
        <v>0</v>
      </c>
      <c r="H59" s="317">
        <f>'H-1 ADJ'!F48</f>
        <v>-56410.61</v>
      </c>
      <c r="I59" s="317">
        <f>'H-1 ADJ'!F56</f>
        <v>1800000</v>
      </c>
      <c r="L59" s="289"/>
      <c r="M59" s="289"/>
      <c r="N59" s="289"/>
      <c r="O59" s="314">
        <f t="shared" si="8"/>
        <v>1800000</v>
      </c>
      <c r="P59" s="72"/>
      <c r="R59" s="72"/>
      <c r="S59" s="72"/>
      <c r="T59" s="72"/>
      <c r="U59" s="72"/>
      <c r="V59" s="72"/>
    </row>
    <row r="60" spans="1:22">
      <c r="A60">
        <f t="shared" si="9"/>
        <v>45</v>
      </c>
      <c r="B60" s="72" t="s">
        <v>149</v>
      </c>
      <c r="C60" s="132">
        <v>930</v>
      </c>
      <c r="D60" s="345">
        <f>'H-1'!P60</f>
        <v>66000</v>
      </c>
      <c r="F60" s="314"/>
      <c r="G60" s="314"/>
      <c r="H60" s="314"/>
      <c r="L60" s="289"/>
      <c r="M60" s="289"/>
      <c r="N60" s="289"/>
      <c r="O60" s="314">
        <f t="shared" si="8"/>
        <v>66000</v>
      </c>
      <c r="P60" s="72"/>
      <c r="R60" s="72"/>
      <c r="S60" s="72"/>
      <c r="T60" s="72"/>
      <c r="U60" s="72"/>
      <c r="V60" s="72"/>
    </row>
    <row r="61" spans="1:22">
      <c r="A61">
        <f t="shared" si="9"/>
        <v>46</v>
      </c>
      <c r="B61" s="72" t="s">
        <v>150</v>
      </c>
      <c r="C61" s="132">
        <v>931</v>
      </c>
      <c r="D61" s="345">
        <f>'H-1'!P61</f>
        <v>0</v>
      </c>
      <c r="F61" s="314"/>
      <c r="G61" s="314"/>
      <c r="H61" s="314"/>
      <c r="L61" s="289"/>
      <c r="M61" s="289"/>
      <c r="N61" s="289"/>
      <c r="O61" s="314">
        <f t="shared" si="8"/>
        <v>0</v>
      </c>
      <c r="P61" s="72"/>
      <c r="R61" s="72"/>
      <c r="S61" s="72"/>
      <c r="T61" s="72"/>
      <c r="U61" s="72"/>
      <c r="V61" s="72"/>
    </row>
    <row r="62" spans="1:22">
      <c r="A62">
        <f t="shared" si="9"/>
        <v>47</v>
      </c>
      <c r="B62" s="72" t="s">
        <v>443</v>
      </c>
      <c r="C62" s="132">
        <v>932</v>
      </c>
      <c r="D62" s="345">
        <f>'H-1'!P62</f>
        <v>0</v>
      </c>
      <c r="F62" s="314"/>
      <c r="G62" s="314"/>
      <c r="H62" s="314"/>
      <c r="L62" s="289"/>
      <c r="M62" s="289"/>
      <c r="N62" s="289"/>
      <c r="O62" s="314">
        <f t="shared" si="8"/>
        <v>0</v>
      </c>
      <c r="P62" s="72"/>
      <c r="R62" s="72"/>
      <c r="S62" s="72"/>
      <c r="T62" s="72"/>
      <c r="U62" s="72"/>
      <c r="V62" s="72"/>
    </row>
    <row r="63" spans="1:22">
      <c r="A63">
        <f t="shared" si="9"/>
        <v>48</v>
      </c>
      <c r="B63" s="72" t="s">
        <v>137</v>
      </c>
      <c r="C63" s="132"/>
      <c r="F63" s="314"/>
      <c r="G63" s="314"/>
      <c r="H63" s="314"/>
      <c r="L63" s="289"/>
      <c r="M63" s="289"/>
      <c r="N63" s="289"/>
      <c r="O63" s="314">
        <f t="shared" si="8"/>
        <v>0</v>
      </c>
      <c r="P63" s="72"/>
      <c r="R63" s="72"/>
      <c r="S63" s="72"/>
      <c r="T63" s="72"/>
      <c r="U63" s="72"/>
      <c r="V63" s="72"/>
    </row>
    <row r="64" spans="1:22" ht="13.5" thickBot="1">
      <c r="A64">
        <f t="shared" si="9"/>
        <v>49</v>
      </c>
      <c r="B64" s="130" t="s">
        <v>151</v>
      </c>
      <c r="C64" s="132"/>
      <c r="D64" s="346">
        <f t="shared" ref="D64:N64" si="10">SUM(D51:D63)</f>
        <v>3535202.9699999983</v>
      </c>
      <c r="E64" s="346">
        <f t="shared" si="10"/>
        <v>0</v>
      </c>
      <c r="F64" s="346">
        <f t="shared" si="10"/>
        <v>0</v>
      </c>
      <c r="G64" s="346">
        <f t="shared" si="10"/>
        <v>139341.573339</v>
      </c>
      <c r="H64" s="346">
        <f t="shared" si="10"/>
        <v>-56410.61</v>
      </c>
      <c r="I64" s="346">
        <f t="shared" si="10"/>
        <v>1800000</v>
      </c>
      <c r="J64" s="249">
        <f t="shared" si="10"/>
        <v>58097.02</v>
      </c>
      <c r="K64" s="249">
        <f t="shared" si="10"/>
        <v>400000</v>
      </c>
      <c r="L64" s="249">
        <f t="shared" si="10"/>
        <v>0</v>
      </c>
      <c r="M64" s="249">
        <f t="shared" si="10"/>
        <v>0</v>
      </c>
      <c r="N64" s="249">
        <f t="shared" si="10"/>
        <v>0</v>
      </c>
      <c r="O64" s="347">
        <f>SUM(O51:O63)</f>
        <v>5876230.9533389984</v>
      </c>
      <c r="P64" s="72"/>
      <c r="R64" s="72"/>
      <c r="S64" s="72"/>
      <c r="T64" s="72"/>
      <c r="U64" s="72"/>
      <c r="V64" s="72"/>
    </row>
    <row r="65" spans="1:23" ht="13.5" thickTop="1">
      <c r="A65">
        <f t="shared" si="9"/>
        <v>50</v>
      </c>
      <c r="B65" s="130" t="s">
        <v>401</v>
      </c>
      <c r="C65" s="132"/>
      <c r="F65" s="314"/>
      <c r="G65" s="314"/>
      <c r="H65" s="314"/>
      <c r="L65" s="289"/>
      <c r="M65" s="289"/>
      <c r="N65" s="289"/>
      <c r="O65" s="314"/>
      <c r="P65" s="72"/>
      <c r="R65" s="72"/>
      <c r="S65" s="72"/>
      <c r="T65" s="72"/>
      <c r="U65" s="72"/>
      <c r="V65" s="72"/>
    </row>
    <row r="66" spans="1:23" ht="13.5" thickBot="1">
      <c r="A66">
        <f t="shared" si="9"/>
        <v>51</v>
      </c>
      <c r="B66" s="130" t="s">
        <v>377</v>
      </c>
      <c r="C66" s="132"/>
      <c r="D66" s="346">
        <f>+D48+D64+D22</f>
        <v>6362894.5199999977</v>
      </c>
      <c r="E66" s="346">
        <f>+E48+E64+E22</f>
        <v>-129530.1600000004</v>
      </c>
      <c r="F66" s="346">
        <f>+F48+F64+F22</f>
        <v>-370848.55</v>
      </c>
      <c r="G66" s="346">
        <f>+G48+G64+G22</f>
        <v>139341.573339</v>
      </c>
      <c r="H66" s="346">
        <f>+H48+H64+H22</f>
        <v>-56410.61</v>
      </c>
      <c r="I66" s="346">
        <f t="shared" ref="I66:N66" si="11">+I48+I64</f>
        <v>1800000</v>
      </c>
      <c r="J66" s="249">
        <f t="shared" si="11"/>
        <v>83705.353100000008</v>
      </c>
      <c r="K66" s="249">
        <f t="shared" si="11"/>
        <v>400000</v>
      </c>
      <c r="L66" s="292">
        <f t="shared" si="11"/>
        <v>0</v>
      </c>
      <c r="M66" s="292">
        <f t="shared" si="11"/>
        <v>0</v>
      </c>
      <c r="N66" s="292">
        <f t="shared" si="11"/>
        <v>0</v>
      </c>
      <c r="O66" s="346">
        <f>+O48+O64+O22</f>
        <v>8229152.1264389977</v>
      </c>
      <c r="P66" s="72"/>
      <c r="R66" s="72"/>
      <c r="S66" s="72"/>
      <c r="T66" s="72"/>
      <c r="U66" s="72"/>
      <c r="V66" s="72"/>
    </row>
    <row r="67" spans="1:23" ht="13.5" thickTop="1">
      <c r="A67"/>
      <c r="C67" s="132"/>
      <c r="P67" s="72"/>
      <c r="R67" s="72"/>
      <c r="S67" s="72"/>
      <c r="T67" s="72"/>
      <c r="U67" s="72"/>
      <c r="V67" s="72"/>
    </row>
    <row r="68" spans="1:23">
      <c r="A68"/>
      <c r="C68" s="132"/>
    </row>
    <row r="69" spans="1:23">
      <c r="C69" s="132"/>
      <c r="W69" s="106"/>
    </row>
    <row r="70" spans="1:23">
      <c r="C70" s="132"/>
    </row>
    <row r="71" spans="1:23">
      <c r="C71" s="132"/>
    </row>
    <row r="72" spans="1:23">
      <c r="C72" s="132"/>
    </row>
    <row r="73" spans="1:23">
      <c r="C73" s="132"/>
    </row>
    <row r="74" spans="1:23">
      <c r="C74" s="132"/>
    </row>
    <row r="75" spans="1:23">
      <c r="C75" s="132"/>
    </row>
    <row r="76" spans="1:23">
      <c r="C76" s="132"/>
    </row>
    <row r="77" spans="1:23">
      <c r="C77" s="132"/>
    </row>
    <row r="78" spans="1:23">
      <c r="C78" s="132"/>
    </row>
    <row r="79" spans="1:23">
      <c r="C79" s="132"/>
    </row>
    <row r="80" spans="1:23">
      <c r="C80" s="132"/>
    </row>
    <row r="81" spans="3:3">
      <c r="C81" s="132"/>
    </row>
    <row r="82" spans="3:3">
      <c r="C82" s="132"/>
    </row>
    <row r="83" spans="3:3">
      <c r="C83" s="132"/>
    </row>
    <row r="84" spans="3:3">
      <c r="C84" s="132"/>
    </row>
    <row r="85" spans="3:3">
      <c r="C85" s="132"/>
    </row>
    <row r="86" spans="3:3">
      <c r="C86" s="132"/>
    </row>
    <row r="87" spans="3:3">
      <c r="C87" s="132"/>
    </row>
    <row r="88" spans="3:3">
      <c r="C88" s="132"/>
    </row>
    <row r="89" spans="3:3">
      <c r="C89" s="132"/>
    </row>
    <row r="90" spans="3:3">
      <c r="C90" s="132"/>
    </row>
    <row r="91" spans="3:3">
      <c r="C91" s="132"/>
    </row>
    <row r="92" spans="3:3">
      <c r="C92" s="132"/>
    </row>
    <row r="93" spans="3:3">
      <c r="C93" s="132"/>
    </row>
    <row r="94" spans="3:3">
      <c r="C94" s="132"/>
    </row>
    <row r="95" spans="3:3">
      <c r="C95" s="132"/>
    </row>
    <row r="96" spans="3:3">
      <c r="C96" s="132"/>
    </row>
    <row r="97" spans="3:3">
      <c r="C97" s="132"/>
    </row>
    <row r="98" spans="3:3">
      <c r="C98" s="132"/>
    </row>
    <row r="99" spans="3:3">
      <c r="C99" s="132"/>
    </row>
    <row r="100" spans="3:3">
      <c r="C100" s="132"/>
    </row>
    <row r="101" spans="3:3">
      <c r="C101" s="132"/>
    </row>
  </sheetData>
  <mergeCells count="3">
    <mergeCell ref="A4:O4"/>
    <mergeCell ref="A5:O5"/>
    <mergeCell ref="A6:O6"/>
  </mergeCells>
  <phoneticPr fontId="5" type="noConversion"/>
  <pageMargins left="0.75" right="0.75" top="1" bottom="1" header="0.5" footer="0.5"/>
  <pageSetup scale="5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indexed="17"/>
    <pageSetUpPr fitToPage="1"/>
  </sheetPr>
  <dimension ref="A1:G197"/>
  <sheetViews>
    <sheetView zoomScaleNormal="100" workbookViewId="0">
      <selection activeCell="F20" sqref="F20"/>
    </sheetView>
  </sheetViews>
  <sheetFormatPr defaultRowHeight="12.75"/>
  <cols>
    <col min="1" max="1" width="3" style="72" customWidth="1"/>
    <col min="2" max="2" width="8.85546875" style="239" customWidth="1"/>
    <col min="3" max="3" width="2.5703125" style="239" customWidth="1"/>
    <col min="4" max="4" width="52.5703125" style="72" customWidth="1"/>
    <col min="5" max="5" width="2.85546875" style="201" customWidth="1"/>
    <col min="6" max="6" width="17.7109375" style="314" bestFit="1" customWidth="1"/>
    <col min="7" max="16384" width="9.140625" style="72"/>
  </cols>
  <sheetData>
    <row r="1" spans="1:6">
      <c r="F1" s="314" t="str">
        <f>+'H-1'!Q1</f>
        <v>Docket No. RP16-299-000</v>
      </c>
    </row>
    <row r="2" spans="1:6">
      <c r="F2" s="314" t="s">
        <v>1066</v>
      </c>
    </row>
    <row r="3" spans="1:6">
      <c r="B3" s="72"/>
      <c r="C3" s="72"/>
      <c r="E3" s="72"/>
      <c r="F3" s="72"/>
    </row>
    <row r="4" spans="1:6">
      <c r="A4" s="946" t="s">
        <v>658</v>
      </c>
      <c r="B4" s="946"/>
      <c r="C4" s="946"/>
      <c r="D4" s="946"/>
      <c r="E4" s="946"/>
      <c r="F4" s="946"/>
    </row>
    <row r="5" spans="1:6">
      <c r="A5" s="946" t="s">
        <v>286</v>
      </c>
      <c r="B5" s="946"/>
      <c r="C5" s="946"/>
      <c r="D5" s="946"/>
      <c r="E5" s="946"/>
      <c r="F5" s="946"/>
    </row>
    <row r="6" spans="1:6">
      <c r="A6" s="946" t="s">
        <v>757</v>
      </c>
      <c r="B6" s="946"/>
      <c r="C6" s="946"/>
      <c r="D6" s="946"/>
      <c r="E6" s="946"/>
      <c r="F6" s="946"/>
    </row>
    <row r="7" spans="1:6">
      <c r="A7" s="498"/>
      <c r="B7" s="498"/>
      <c r="C7" s="498"/>
      <c r="D7" s="498"/>
      <c r="E7" s="498"/>
      <c r="F7" s="498"/>
    </row>
    <row r="8" spans="1:6">
      <c r="A8" s="946"/>
      <c r="B8" s="946"/>
      <c r="C8" s="946"/>
      <c r="D8" s="946"/>
      <c r="F8" s="305"/>
    </row>
    <row r="9" spans="1:6">
      <c r="A9" s="470" t="s">
        <v>732</v>
      </c>
      <c r="B9" s="464"/>
      <c r="C9" s="464"/>
      <c r="D9" s="149"/>
      <c r="F9" s="305"/>
    </row>
    <row r="10" spans="1:6">
      <c r="A10" s="132"/>
      <c r="D10" s="132"/>
      <c r="F10" s="305"/>
    </row>
    <row r="11" spans="1:6" ht="40.5" customHeight="1">
      <c r="A11" s="132"/>
      <c r="C11" s="947" t="s">
        <v>811</v>
      </c>
      <c r="D11" s="947"/>
      <c r="E11" s="469"/>
      <c r="F11" s="305"/>
    </row>
    <row r="12" spans="1:6" ht="25.5">
      <c r="B12" s="306" t="s">
        <v>288</v>
      </c>
      <c r="D12" s="307" t="s">
        <v>354</v>
      </c>
      <c r="E12" s="471"/>
      <c r="F12" s="308" t="s">
        <v>206</v>
      </c>
    </row>
    <row r="13" spans="1:6">
      <c r="A13" s="303"/>
      <c r="B13" s="132"/>
      <c r="C13" s="309"/>
      <c r="D13" s="310"/>
      <c r="F13" s="305"/>
    </row>
    <row r="14" spans="1:6">
      <c r="A14" s="303"/>
      <c r="B14" s="524">
        <v>806</v>
      </c>
      <c r="C14" s="572"/>
      <c r="D14" s="513" t="s">
        <v>727</v>
      </c>
      <c r="F14" s="305">
        <f>-'H-1 (2)(a) $ '!P14</f>
        <v>-484377.91</v>
      </c>
    </row>
    <row r="15" spans="1:6">
      <c r="A15" s="303"/>
      <c r="B15" s="524">
        <v>808.1</v>
      </c>
      <c r="C15" s="572"/>
      <c r="D15" s="513" t="s">
        <v>728</v>
      </c>
      <c r="F15" s="305">
        <f>-'H-1 (2)(a) $ '!P15</f>
        <v>-3204286.87</v>
      </c>
    </row>
    <row r="16" spans="1:6">
      <c r="A16" s="303"/>
      <c r="B16" s="524">
        <v>808.2</v>
      </c>
      <c r="C16" s="572"/>
      <c r="D16" s="513" t="s">
        <v>729</v>
      </c>
      <c r="F16" s="305">
        <f>-'H-1 (2)(a) $ '!P16</f>
        <v>3188286.07</v>
      </c>
    </row>
    <row r="17" spans="1:7">
      <c r="A17" s="303"/>
      <c r="B17" s="524">
        <v>810</v>
      </c>
      <c r="C17" s="572"/>
      <c r="D17" s="513" t="s">
        <v>730</v>
      </c>
      <c r="F17" s="305">
        <f>-'H-1 (1)(c) $'!P14</f>
        <v>370848.55000000005</v>
      </c>
    </row>
    <row r="18" spans="1:7">
      <c r="A18" s="303"/>
      <c r="B18" s="524">
        <v>812</v>
      </c>
      <c r="C18" s="572"/>
      <c r="D18" s="513" t="s">
        <v>731</v>
      </c>
      <c r="F18" s="305">
        <f>-'H-1 (1)(c) $'!P15</f>
        <v>127919.97999999998</v>
      </c>
    </row>
    <row r="19" spans="1:7">
      <c r="A19" s="303"/>
      <c r="B19" s="524">
        <v>813</v>
      </c>
      <c r="C19" s="572"/>
      <c r="D19" s="513" t="s">
        <v>171</v>
      </c>
      <c r="F19" s="305">
        <f>-'H-1 (2)(a) $ '!P17</f>
        <v>-127919.98</v>
      </c>
    </row>
    <row r="20" spans="1:7" ht="13.5" thickBot="1">
      <c r="A20" s="303"/>
      <c r="B20" s="132"/>
      <c r="C20" s="309"/>
      <c r="D20" s="311"/>
      <c r="F20" s="312">
        <f>SUM(F14:F19)</f>
        <v>-129530.1600000004</v>
      </c>
    </row>
    <row r="21" spans="1:7" ht="13.5" thickTop="1">
      <c r="A21" s="132"/>
      <c r="B21" s="132"/>
      <c r="C21" s="132"/>
      <c r="D21" s="132"/>
      <c r="F21" s="305"/>
    </row>
    <row r="22" spans="1:7">
      <c r="A22" s="470" t="s">
        <v>750</v>
      </c>
      <c r="B22" s="464"/>
      <c r="C22" s="464"/>
      <c r="D22" s="149"/>
      <c r="F22" s="305"/>
      <c r="G22" s="201"/>
    </row>
    <row r="23" spans="1:7" ht="12.75" customHeight="1">
      <c r="A23" s="132"/>
      <c r="D23" s="132"/>
      <c r="F23" s="305"/>
      <c r="G23" s="201"/>
    </row>
    <row r="24" spans="1:7" ht="44.25" customHeight="1">
      <c r="A24" s="132"/>
      <c r="C24" s="947" t="s">
        <v>97</v>
      </c>
      <c r="D24" s="947"/>
      <c r="E24" s="469"/>
      <c r="F24" s="305"/>
      <c r="G24" s="201"/>
    </row>
    <row r="25" spans="1:7" ht="25.5">
      <c r="B25" s="306" t="s">
        <v>288</v>
      </c>
      <c r="D25" s="307" t="s">
        <v>354</v>
      </c>
      <c r="E25" s="471"/>
      <c r="F25" s="308" t="s">
        <v>206</v>
      </c>
      <c r="G25" s="201"/>
    </row>
    <row r="26" spans="1:7">
      <c r="A26" s="303"/>
      <c r="B26" s="132"/>
      <c r="C26" s="309"/>
      <c r="D26" s="310"/>
      <c r="F26" s="305"/>
      <c r="G26" s="201"/>
    </row>
    <row r="27" spans="1:7" ht="13.5" thickBot="1">
      <c r="A27" s="303"/>
      <c r="B27" s="132">
        <v>854</v>
      </c>
      <c r="C27" s="309"/>
      <c r="D27" s="311" t="s">
        <v>733</v>
      </c>
      <c r="F27" s="312">
        <f>-'H-1 (2)(a) $ '!P18</f>
        <v>-370848.55</v>
      </c>
      <c r="G27" s="201"/>
    </row>
    <row r="28" spans="1:7" ht="13.5" thickTop="1">
      <c r="A28" s="303"/>
      <c r="B28" s="132"/>
      <c r="C28" s="309"/>
      <c r="D28" s="311"/>
      <c r="F28" s="305"/>
      <c r="G28" s="201"/>
    </row>
    <row r="29" spans="1:7">
      <c r="A29" s="303"/>
      <c r="B29" s="132"/>
      <c r="C29" s="309"/>
      <c r="D29" s="310"/>
      <c r="F29" s="305"/>
      <c r="G29" s="201"/>
    </row>
    <row r="30" spans="1:7">
      <c r="A30" s="303"/>
      <c r="B30" s="132"/>
      <c r="C30" s="472"/>
      <c r="D30" s="310"/>
      <c r="F30" s="305"/>
      <c r="G30" s="201"/>
    </row>
    <row r="31" spans="1:7" ht="12.75" customHeight="1">
      <c r="A31" s="303"/>
      <c r="B31" s="132"/>
      <c r="C31" s="473"/>
      <c r="D31" s="310"/>
      <c r="E31" s="474"/>
      <c r="F31" s="475"/>
      <c r="G31" s="201"/>
    </row>
    <row r="32" spans="1:7">
      <c r="A32" s="470" t="s">
        <v>751</v>
      </c>
      <c r="B32" s="464"/>
      <c r="C32" s="464"/>
      <c r="D32" s="149"/>
      <c r="F32" s="305"/>
      <c r="G32" s="201"/>
    </row>
    <row r="33" spans="1:7">
      <c r="A33" s="132"/>
      <c r="D33" s="132"/>
      <c r="F33" s="305"/>
      <c r="G33" s="201"/>
    </row>
    <row r="34" spans="1:7" ht="36.75" customHeight="1">
      <c r="A34" s="132"/>
      <c r="C34" s="947" t="s">
        <v>812</v>
      </c>
      <c r="D34" s="947"/>
      <c r="E34" s="469"/>
      <c r="F34" s="305"/>
      <c r="G34" s="201"/>
    </row>
    <row r="35" spans="1:7">
      <c r="A35" s="132"/>
      <c r="C35" s="468"/>
      <c r="D35" s="468"/>
      <c r="E35" s="469"/>
      <c r="F35" s="305"/>
      <c r="G35" s="201"/>
    </row>
    <row r="36" spans="1:7" ht="25.5">
      <c r="B36" s="306" t="s">
        <v>288</v>
      </c>
      <c r="D36" s="307" t="s">
        <v>354</v>
      </c>
      <c r="F36" s="308" t="s">
        <v>206</v>
      </c>
      <c r="G36" s="201"/>
    </row>
    <row r="37" spans="1:7">
      <c r="A37" s="303"/>
      <c r="B37" s="132"/>
      <c r="C37" s="309"/>
      <c r="D37" s="310"/>
      <c r="F37" s="305"/>
      <c r="G37" s="201"/>
    </row>
    <row r="38" spans="1:7">
      <c r="A38" s="303"/>
      <c r="B38" s="524">
        <v>923</v>
      </c>
      <c r="C38" s="572"/>
      <c r="D38" s="574" t="s">
        <v>144</v>
      </c>
      <c r="F38" s="573">
        <v>-58.54</v>
      </c>
      <c r="G38" s="201"/>
    </row>
    <row r="39" spans="1:7">
      <c r="A39" s="303"/>
      <c r="B39" s="524">
        <v>923</v>
      </c>
      <c r="C39" s="572"/>
      <c r="D39" s="574" t="s">
        <v>144</v>
      </c>
      <c r="F39" s="576">
        <v>139400.113339</v>
      </c>
      <c r="G39" s="201"/>
    </row>
    <row r="40" spans="1:7" ht="13.5" thickBot="1">
      <c r="A40" s="303"/>
      <c r="B40" s="132"/>
      <c r="C40" s="309"/>
      <c r="D40" s="311"/>
      <c r="F40" s="463">
        <f>SUM(F38:F39)</f>
        <v>139341.573339</v>
      </c>
      <c r="G40" s="201"/>
    </row>
    <row r="41" spans="1:7" ht="13.5" thickTop="1">
      <c r="A41" s="132"/>
      <c r="D41" s="132"/>
      <c r="F41" s="305"/>
      <c r="G41" s="201"/>
    </row>
    <row r="42" spans="1:7" ht="15" customHeight="1">
      <c r="A42" s="470" t="s">
        <v>752</v>
      </c>
      <c r="B42" s="464"/>
      <c r="C42" s="464"/>
      <c r="D42" s="149"/>
      <c r="F42" s="305"/>
      <c r="G42" s="201"/>
    </row>
    <row r="43" spans="1:7" ht="15" customHeight="1">
      <c r="A43" s="132"/>
      <c r="D43" s="132"/>
      <c r="F43" s="305"/>
      <c r="G43" s="201"/>
    </row>
    <row r="44" spans="1:7" ht="39.75" customHeight="1">
      <c r="A44" s="132"/>
      <c r="C44" s="947" t="s">
        <v>1068</v>
      </c>
      <c r="D44" s="947"/>
      <c r="E44" s="469"/>
      <c r="F44" s="305"/>
      <c r="G44" s="201"/>
    </row>
    <row r="45" spans="1:7" ht="25.5">
      <c r="B45" s="306" t="s">
        <v>288</v>
      </c>
      <c r="D45" s="307" t="s">
        <v>354</v>
      </c>
      <c r="F45" s="308" t="s">
        <v>206</v>
      </c>
      <c r="G45" s="201"/>
    </row>
    <row r="46" spans="1:7">
      <c r="A46" s="303"/>
      <c r="B46" s="132"/>
      <c r="C46" s="309"/>
      <c r="D46" s="310"/>
      <c r="F46" s="305"/>
      <c r="G46" s="201"/>
    </row>
    <row r="47" spans="1:7">
      <c r="A47" s="303"/>
      <c r="B47" s="524">
        <v>928</v>
      </c>
      <c r="C47" s="572"/>
      <c r="D47" s="574" t="s">
        <v>148</v>
      </c>
      <c r="F47" s="313">
        <f>-'Sched H-1 (2)(g)'!C13</f>
        <v>-56410.61</v>
      </c>
      <c r="G47" s="201"/>
    </row>
    <row r="48" spans="1:7" ht="12.75" customHeight="1" thickBot="1">
      <c r="D48" s="129"/>
      <c r="F48" s="312">
        <f>SUM(F47:F47)</f>
        <v>-56410.61</v>
      </c>
      <c r="G48" s="201"/>
    </row>
    <row r="49" spans="1:7" ht="13.5" thickTop="1">
      <c r="A49" s="303"/>
      <c r="B49" s="132"/>
      <c r="C49" s="309"/>
      <c r="D49" s="311"/>
      <c r="F49" s="313"/>
      <c r="G49" s="201"/>
    </row>
    <row r="50" spans="1:7">
      <c r="A50" s="637" t="s">
        <v>813</v>
      </c>
      <c r="B50" s="638"/>
      <c r="C50" s="638"/>
      <c r="D50" s="639"/>
      <c r="E50" s="575"/>
      <c r="F50" s="576"/>
      <c r="G50" s="201"/>
    </row>
    <row r="51" spans="1:7">
      <c r="A51" s="524"/>
      <c r="B51" s="519"/>
      <c r="C51" s="519"/>
      <c r="D51" s="524"/>
      <c r="E51" s="575"/>
      <c r="F51" s="576"/>
      <c r="G51" s="201"/>
    </row>
    <row r="52" spans="1:7" ht="38.25" customHeight="1">
      <c r="A52" s="524"/>
      <c r="B52" s="519"/>
      <c r="C52" s="947" t="s">
        <v>814</v>
      </c>
      <c r="D52" s="947"/>
      <c r="E52" s="577"/>
      <c r="F52" s="576"/>
      <c r="G52" s="201"/>
    </row>
    <row r="53" spans="1:7" ht="25.5">
      <c r="A53" s="513"/>
      <c r="B53" s="578" t="s">
        <v>288</v>
      </c>
      <c r="C53" s="519"/>
      <c r="D53" s="579" t="s">
        <v>354</v>
      </c>
      <c r="E53" s="575"/>
      <c r="F53" s="580" t="s">
        <v>206</v>
      </c>
      <c r="G53" s="201"/>
    </row>
    <row r="54" spans="1:7">
      <c r="A54" s="581"/>
      <c r="B54" s="524"/>
      <c r="C54" s="572"/>
      <c r="D54" s="582"/>
      <c r="E54" s="575"/>
      <c r="F54" s="576"/>
      <c r="G54" s="201"/>
    </row>
    <row r="55" spans="1:7">
      <c r="A55" s="581"/>
      <c r="B55" s="524">
        <v>928</v>
      </c>
      <c r="C55" s="572"/>
      <c r="D55" s="574" t="s">
        <v>148</v>
      </c>
      <c r="E55" s="575"/>
      <c r="F55" s="609">
        <v>1800000</v>
      </c>
      <c r="G55" s="201"/>
    </row>
    <row r="56" spans="1:7" ht="13.5" thickBot="1">
      <c r="A56" s="513"/>
      <c r="B56" s="519"/>
      <c r="C56" s="519"/>
      <c r="D56" s="610"/>
      <c r="E56" s="575"/>
      <c r="F56" s="611">
        <f>SUM(F55:F55)</f>
        <v>1800000</v>
      </c>
      <c r="G56" s="201"/>
    </row>
    <row r="57" spans="1:7" ht="13.5" thickTop="1">
      <c r="A57" s="513"/>
      <c r="B57" s="519"/>
      <c r="C57" s="519"/>
      <c r="D57" s="513"/>
      <c r="E57" s="575"/>
      <c r="F57" s="612"/>
      <c r="G57" s="201"/>
    </row>
    <row r="58" spans="1:7">
      <c r="A58" s="637" t="s">
        <v>815</v>
      </c>
      <c r="B58" s="638"/>
      <c r="C58" s="638"/>
      <c r="D58" s="639"/>
      <c r="E58" s="575"/>
      <c r="F58" s="576"/>
      <c r="G58" s="201"/>
    </row>
    <row r="59" spans="1:7">
      <c r="A59" s="524"/>
      <c r="B59" s="519"/>
      <c r="C59" s="519"/>
      <c r="D59" s="524"/>
      <c r="E59" s="575"/>
      <c r="F59" s="576"/>
      <c r="G59" s="201"/>
    </row>
    <row r="60" spans="1:7">
      <c r="A60" s="524"/>
      <c r="B60" s="519"/>
      <c r="C60" s="947" t="s">
        <v>816</v>
      </c>
      <c r="D60" s="947"/>
      <c r="E60" s="577"/>
      <c r="F60" s="576"/>
      <c r="G60" s="201"/>
    </row>
    <row r="61" spans="1:7" ht="25.5">
      <c r="A61" s="513"/>
      <c r="B61" s="578" t="s">
        <v>288</v>
      </c>
      <c r="C61" s="519"/>
      <c r="D61" s="579" t="s">
        <v>354</v>
      </c>
      <c r="E61" s="575"/>
      <c r="F61" s="580" t="s">
        <v>206</v>
      </c>
      <c r="G61" s="201"/>
    </row>
    <row r="62" spans="1:7">
      <c r="A62" s="581"/>
      <c r="B62" s="524"/>
      <c r="C62" s="572"/>
      <c r="D62" s="582"/>
      <c r="E62" s="575"/>
      <c r="F62" s="576"/>
      <c r="G62" s="201"/>
    </row>
    <row r="63" spans="1:7">
      <c r="A63" s="581"/>
      <c r="B63" s="529">
        <v>850</v>
      </c>
      <c r="C63" s="613"/>
      <c r="D63" s="520" t="s">
        <v>162</v>
      </c>
      <c r="E63" s="533"/>
      <c r="F63" s="573">
        <v>7519.0452000000005</v>
      </c>
      <c r="G63" s="201"/>
    </row>
    <row r="64" spans="1:7">
      <c r="A64" s="513"/>
      <c r="B64" s="521">
        <v>853</v>
      </c>
      <c r="C64" s="521"/>
      <c r="D64" s="614" t="s">
        <v>152</v>
      </c>
      <c r="E64" s="533"/>
      <c r="F64" s="573">
        <v>6539.5293000000011</v>
      </c>
      <c r="G64" s="201"/>
    </row>
    <row r="65" spans="1:7">
      <c r="A65" s="513"/>
      <c r="B65" s="521">
        <v>856</v>
      </c>
      <c r="C65" s="521"/>
      <c r="D65" s="520" t="s">
        <v>155</v>
      </c>
      <c r="E65" s="533"/>
      <c r="F65" s="615">
        <v>867.68579999999963</v>
      </c>
      <c r="G65" s="201"/>
    </row>
    <row r="66" spans="1:7">
      <c r="A66" s="513"/>
      <c r="B66" s="521">
        <v>857</v>
      </c>
      <c r="C66" s="521"/>
      <c r="D66" s="520" t="s">
        <v>182</v>
      </c>
      <c r="E66" s="533"/>
      <c r="F66" s="615">
        <v>2280.6284999999998</v>
      </c>
      <c r="G66" s="201"/>
    </row>
    <row r="67" spans="1:7">
      <c r="A67" s="513"/>
      <c r="B67" s="521">
        <v>859</v>
      </c>
      <c r="C67" s="521"/>
      <c r="D67" s="520" t="s">
        <v>158</v>
      </c>
      <c r="E67" s="533"/>
      <c r="F67" s="615">
        <v>492.88</v>
      </c>
      <c r="G67" s="201"/>
    </row>
    <row r="68" spans="1:7">
      <c r="A68" s="513"/>
      <c r="B68" s="521">
        <v>863</v>
      </c>
      <c r="C68" s="521"/>
      <c r="D68" s="520" t="s">
        <v>185</v>
      </c>
      <c r="E68" s="533"/>
      <c r="F68" s="615">
        <v>7888.7775000000001</v>
      </c>
      <c r="G68" s="201"/>
    </row>
    <row r="69" spans="1:7">
      <c r="A69" s="513"/>
      <c r="B69" s="521">
        <v>864</v>
      </c>
      <c r="C69" s="521"/>
      <c r="D69" s="520" t="s">
        <v>186</v>
      </c>
      <c r="E69" s="533"/>
      <c r="F69" s="615">
        <v>19.786799999999996</v>
      </c>
      <c r="G69" s="201"/>
    </row>
    <row r="70" spans="1:7">
      <c r="A70" s="513"/>
      <c r="B70" s="521">
        <v>923</v>
      </c>
      <c r="C70" s="521"/>
      <c r="D70" s="520" t="s">
        <v>144</v>
      </c>
      <c r="E70" s="533"/>
      <c r="F70" s="615">
        <v>58097.02</v>
      </c>
      <c r="G70" s="201"/>
    </row>
    <row r="71" spans="1:7" ht="13.5" thickBot="1">
      <c r="A71" s="513"/>
      <c r="B71" s="521"/>
      <c r="C71" s="521"/>
      <c r="D71" s="520"/>
      <c r="E71" s="533"/>
      <c r="F71" s="616">
        <f>SUM(F63:F70)</f>
        <v>83705.353100000008</v>
      </c>
      <c r="G71" s="201"/>
    </row>
    <row r="72" spans="1:7" ht="13.5" thickTop="1">
      <c r="A72" s="201"/>
      <c r="B72" s="315"/>
      <c r="C72" s="315"/>
      <c r="D72" s="203"/>
      <c r="F72" s="316"/>
      <c r="G72" s="201"/>
    </row>
    <row r="73" spans="1:7" s="513" customFormat="1" ht="15" customHeight="1">
      <c r="A73" s="637" t="s">
        <v>830</v>
      </c>
      <c r="B73" s="638"/>
      <c r="C73" s="638"/>
      <c r="D73" s="639"/>
      <c r="E73" s="575"/>
      <c r="F73" s="576"/>
      <c r="G73" s="575"/>
    </row>
    <row r="74" spans="1:7" s="513" customFormat="1" ht="15" customHeight="1">
      <c r="A74" s="524"/>
      <c r="B74" s="519"/>
      <c r="C74" s="519"/>
      <c r="D74" s="524"/>
      <c r="E74" s="575"/>
      <c r="F74" s="576"/>
      <c r="G74" s="575"/>
    </row>
    <row r="75" spans="1:7" s="513" customFormat="1">
      <c r="A75" s="524"/>
      <c r="B75" s="519"/>
      <c r="C75" s="947" t="s">
        <v>831</v>
      </c>
      <c r="D75" s="947"/>
      <c r="E75" s="577"/>
      <c r="F75" s="576"/>
      <c r="G75" s="575"/>
    </row>
    <row r="76" spans="1:7" s="513" customFormat="1" ht="25.5">
      <c r="B76" s="578" t="s">
        <v>288</v>
      </c>
      <c r="C76" s="519"/>
      <c r="D76" s="579" t="s">
        <v>354</v>
      </c>
      <c r="E76" s="575"/>
      <c r="F76" s="580" t="s">
        <v>206</v>
      </c>
      <c r="G76" s="575"/>
    </row>
    <row r="77" spans="1:7" s="513" customFormat="1">
      <c r="A77" s="581"/>
      <c r="B77" s="524"/>
      <c r="C77" s="572"/>
      <c r="D77" s="582"/>
      <c r="E77" s="575"/>
      <c r="F77" s="576"/>
      <c r="G77" s="575"/>
    </row>
    <row r="78" spans="1:7" s="513" customFormat="1">
      <c r="A78" s="581"/>
      <c r="B78" s="529">
        <v>925</v>
      </c>
      <c r="C78" s="613"/>
      <c r="D78" s="520" t="s">
        <v>146</v>
      </c>
      <c r="E78" s="533"/>
      <c r="F78" s="573">
        <v>400000</v>
      </c>
      <c r="G78" s="575"/>
    </row>
    <row r="79" spans="1:7" s="513" customFormat="1" ht="13.5" thickBot="1">
      <c r="B79" s="519"/>
      <c r="C79" s="519"/>
      <c r="E79" s="575"/>
      <c r="F79" s="611">
        <f>SUM(F78:F78)</f>
        <v>400000</v>
      </c>
    </row>
    <row r="80" spans="1:7" ht="13.5" thickTop="1">
      <c r="A80" s="201"/>
      <c r="B80" s="315"/>
      <c r="C80" s="315"/>
      <c r="D80" s="203"/>
      <c r="F80" s="316"/>
      <c r="G80" s="201"/>
    </row>
    <row r="81" spans="1:7">
      <c r="A81" s="201"/>
      <c r="B81" s="315"/>
      <c r="C81" s="315"/>
      <c r="D81" s="203"/>
      <c r="F81" s="316"/>
      <c r="G81" s="201"/>
    </row>
    <row r="82" spans="1:7">
      <c r="A82" s="201"/>
      <c r="B82" s="315"/>
      <c r="C82" s="315"/>
      <c r="D82" s="203"/>
      <c r="F82" s="316"/>
      <c r="G82" s="201"/>
    </row>
    <row r="83" spans="1:7">
      <c r="A83" s="201"/>
      <c r="B83" s="315"/>
      <c r="C83" s="315"/>
      <c r="D83" s="203"/>
      <c r="F83" s="316"/>
      <c r="G83" s="201"/>
    </row>
    <row r="84" spans="1:7">
      <c r="A84" s="201"/>
      <c r="B84" s="315"/>
      <c r="C84" s="315"/>
      <c r="D84" s="203"/>
      <c r="F84" s="316"/>
      <c r="G84" s="201"/>
    </row>
    <row r="85" spans="1:7">
      <c r="A85" s="201"/>
      <c r="B85" s="315"/>
      <c r="C85" s="315"/>
      <c r="D85" s="203"/>
      <c r="F85" s="316"/>
      <c r="G85" s="201"/>
    </row>
    <row r="86" spans="1:7">
      <c r="A86" s="201"/>
      <c r="B86" s="315"/>
      <c r="C86" s="315"/>
      <c r="D86" s="203"/>
      <c r="F86" s="316"/>
      <c r="G86" s="201"/>
    </row>
    <row r="87" spans="1:7">
      <c r="A87" s="201"/>
      <c r="B87" s="315"/>
      <c r="C87" s="315"/>
      <c r="D87" s="203"/>
      <c r="F87" s="316"/>
      <c r="G87" s="201"/>
    </row>
    <row r="88" spans="1:7">
      <c r="D88" s="129"/>
    </row>
    <row r="89" spans="1:7">
      <c r="D89" s="129"/>
    </row>
    <row r="90" spans="1:7">
      <c r="D90" s="129"/>
    </row>
    <row r="91" spans="1:7">
      <c r="D91" s="129"/>
    </row>
    <row r="92" spans="1:7">
      <c r="D92" s="129"/>
    </row>
    <row r="93" spans="1:7">
      <c r="D93" s="129"/>
    </row>
    <row r="94" spans="1:7">
      <c r="D94" s="129"/>
    </row>
    <row r="95" spans="1:7">
      <c r="D95" s="129"/>
    </row>
    <row r="96" spans="1:7">
      <c r="D96" s="129"/>
    </row>
    <row r="97" spans="4:4">
      <c r="D97" s="129"/>
    </row>
    <row r="98" spans="4:4">
      <c r="D98" s="129"/>
    </row>
    <row r="99" spans="4:4">
      <c r="D99" s="129"/>
    </row>
    <row r="100" spans="4:4">
      <c r="D100" s="129"/>
    </row>
    <row r="101" spans="4:4">
      <c r="D101" s="129"/>
    </row>
    <row r="102" spans="4:4">
      <c r="D102" s="129"/>
    </row>
    <row r="103" spans="4:4">
      <c r="D103" s="129"/>
    </row>
    <row r="104" spans="4:4">
      <c r="D104" s="129"/>
    </row>
    <row r="105" spans="4:4">
      <c r="D105" s="129"/>
    </row>
    <row r="106" spans="4:4">
      <c r="D106" s="129"/>
    </row>
    <row r="107" spans="4:4">
      <c r="D107" s="129"/>
    </row>
    <row r="108" spans="4:4">
      <c r="D108" s="129"/>
    </row>
    <row r="109" spans="4:4">
      <c r="D109" s="129"/>
    </row>
    <row r="110" spans="4:4">
      <c r="D110" s="129"/>
    </row>
    <row r="111" spans="4:4">
      <c r="D111" s="129"/>
    </row>
    <row r="112" spans="4:4">
      <c r="D112" s="129"/>
    </row>
    <row r="113" spans="4:4">
      <c r="D113" s="129"/>
    </row>
    <row r="114" spans="4:4">
      <c r="D114" s="129"/>
    </row>
    <row r="115" spans="4:4">
      <c r="D115" s="129"/>
    </row>
    <row r="116" spans="4:4">
      <c r="D116" s="129"/>
    </row>
    <row r="117" spans="4:4">
      <c r="D117" s="129"/>
    </row>
    <row r="118" spans="4:4">
      <c r="D118" s="129"/>
    </row>
    <row r="119" spans="4:4">
      <c r="D119" s="129"/>
    </row>
    <row r="120" spans="4:4">
      <c r="D120" s="129"/>
    </row>
    <row r="121" spans="4:4">
      <c r="D121" s="129"/>
    </row>
    <row r="122" spans="4:4">
      <c r="D122" s="129"/>
    </row>
    <row r="123" spans="4:4">
      <c r="D123" s="129"/>
    </row>
    <row r="124" spans="4:4">
      <c r="D124" s="129"/>
    </row>
    <row r="125" spans="4:4">
      <c r="D125" s="129"/>
    </row>
    <row r="126" spans="4:4">
      <c r="D126" s="129"/>
    </row>
    <row r="127" spans="4:4">
      <c r="D127" s="129"/>
    </row>
    <row r="128" spans="4:4">
      <c r="D128" s="129"/>
    </row>
    <row r="129" spans="4:4">
      <c r="D129" s="129"/>
    </row>
    <row r="130" spans="4:4">
      <c r="D130" s="129"/>
    </row>
    <row r="131" spans="4:4">
      <c r="D131" s="129"/>
    </row>
    <row r="132" spans="4:4">
      <c r="D132" s="129"/>
    </row>
    <row r="133" spans="4:4">
      <c r="D133" s="129"/>
    </row>
    <row r="134" spans="4:4">
      <c r="D134" s="129"/>
    </row>
    <row r="135" spans="4:4">
      <c r="D135" s="129"/>
    </row>
    <row r="136" spans="4:4">
      <c r="D136" s="129"/>
    </row>
    <row r="137" spans="4:4">
      <c r="D137" s="129"/>
    </row>
    <row r="138" spans="4:4">
      <c r="D138" s="129"/>
    </row>
    <row r="139" spans="4:4">
      <c r="D139" s="129"/>
    </row>
    <row r="140" spans="4:4">
      <c r="D140" s="129"/>
    </row>
    <row r="141" spans="4:4">
      <c r="D141" s="129"/>
    </row>
    <row r="142" spans="4:4">
      <c r="D142" s="129"/>
    </row>
    <row r="143" spans="4:4">
      <c r="D143" s="129"/>
    </row>
    <row r="144" spans="4:4">
      <c r="D144" s="129"/>
    </row>
    <row r="145" spans="4:4">
      <c r="D145" s="129"/>
    </row>
    <row r="146" spans="4:4">
      <c r="D146" s="129"/>
    </row>
    <row r="147" spans="4:4">
      <c r="D147" s="129"/>
    </row>
    <row r="148" spans="4:4">
      <c r="D148" s="129"/>
    </row>
    <row r="149" spans="4:4">
      <c r="D149" s="129"/>
    </row>
    <row r="150" spans="4:4">
      <c r="D150" s="129"/>
    </row>
    <row r="151" spans="4:4">
      <c r="D151" s="129"/>
    </row>
    <row r="152" spans="4:4">
      <c r="D152" s="129"/>
    </row>
    <row r="153" spans="4:4">
      <c r="D153" s="129"/>
    </row>
    <row r="154" spans="4:4">
      <c r="D154" s="129"/>
    </row>
    <row r="155" spans="4:4">
      <c r="D155" s="129"/>
    </row>
    <row r="156" spans="4:4">
      <c r="D156" s="129"/>
    </row>
    <row r="157" spans="4:4">
      <c r="D157" s="129"/>
    </row>
    <row r="158" spans="4:4">
      <c r="D158" s="129"/>
    </row>
    <row r="159" spans="4:4">
      <c r="D159" s="129"/>
    </row>
    <row r="160" spans="4:4">
      <c r="D160" s="129"/>
    </row>
    <row r="161" spans="4:4">
      <c r="D161" s="129"/>
    </row>
    <row r="162" spans="4:4">
      <c r="D162" s="129"/>
    </row>
    <row r="163" spans="4:4">
      <c r="D163" s="129"/>
    </row>
    <row r="164" spans="4:4">
      <c r="D164" s="129"/>
    </row>
    <row r="165" spans="4:4">
      <c r="D165" s="129"/>
    </row>
    <row r="166" spans="4:4">
      <c r="D166" s="129"/>
    </row>
    <row r="167" spans="4:4">
      <c r="D167" s="129"/>
    </row>
    <row r="168" spans="4:4">
      <c r="D168" s="129"/>
    </row>
    <row r="169" spans="4:4">
      <c r="D169" s="129"/>
    </row>
    <row r="170" spans="4:4">
      <c r="D170" s="129"/>
    </row>
    <row r="171" spans="4:4">
      <c r="D171" s="129"/>
    </row>
    <row r="172" spans="4:4">
      <c r="D172" s="129"/>
    </row>
    <row r="173" spans="4:4">
      <c r="D173" s="129"/>
    </row>
    <row r="174" spans="4:4">
      <c r="D174" s="129"/>
    </row>
    <row r="175" spans="4:4">
      <c r="D175" s="129"/>
    </row>
    <row r="176" spans="4:4">
      <c r="D176" s="129"/>
    </row>
    <row r="177" spans="4:4">
      <c r="D177" s="129"/>
    </row>
    <row r="178" spans="4:4">
      <c r="D178" s="129"/>
    </row>
    <row r="179" spans="4:4">
      <c r="D179" s="129"/>
    </row>
    <row r="180" spans="4:4">
      <c r="D180" s="129"/>
    </row>
    <row r="181" spans="4:4">
      <c r="D181" s="129"/>
    </row>
    <row r="182" spans="4:4">
      <c r="D182" s="129"/>
    </row>
    <row r="183" spans="4:4">
      <c r="D183" s="129"/>
    </row>
    <row r="184" spans="4:4">
      <c r="D184" s="129"/>
    </row>
    <row r="185" spans="4:4">
      <c r="D185" s="129"/>
    </row>
    <row r="186" spans="4:4">
      <c r="D186" s="129"/>
    </row>
    <row r="187" spans="4:4">
      <c r="D187" s="129"/>
    </row>
    <row r="188" spans="4:4">
      <c r="D188" s="129"/>
    </row>
    <row r="189" spans="4:4">
      <c r="D189" s="129"/>
    </row>
    <row r="190" spans="4:4">
      <c r="D190" s="129"/>
    </row>
    <row r="191" spans="4:4">
      <c r="D191" s="129"/>
    </row>
    <row r="192" spans="4:4">
      <c r="D192" s="129"/>
    </row>
    <row r="193" spans="4:4">
      <c r="D193" s="129"/>
    </row>
    <row r="194" spans="4:4">
      <c r="D194" s="129"/>
    </row>
    <row r="195" spans="4:4">
      <c r="D195" s="129"/>
    </row>
    <row r="196" spans="4:4">
      <c r="D196" s="129"/>
    </row>
    <row r="197" spans="4:4">
      <c r="D197" s="129"/>
    </row>
  </sheetData>
  <mergeCells count="11">
    <mergeCell ref="C75:D75"/>
    <mergeCell ref="A4:F4"/>
    <mergeCell ref="A6:F6"/>
    <mergeCell ref="C52:D52"/>
    <mergeCell ref="C60:D60"/>
    <mergeCell ref="C44:D44"/>
    <mergeCell ref="C24:D24"/>
    <mergeCell ref="C34:D34"/>
    <mergeCell ref="A5:F5"/>
    <mergeCell ref="A8:D8"/>
    <mergeCell ref="C11:D11"/>
  </mergeCells>
  <phoneticPr fontId="5" type="noConversion"/>
  <pageMargins left="0.75" right="0.75" top="1" bottom="1" header="0.5" footer="0.5"/>
  <pageSetup scale="53"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249977111117893"/>
    <pageSetUpPr fitToPage="1"/>
  </sheetPr>
  <dimension ref="A1:R361"/>
  <sheetViews>
    <sheetView zoomScaleNormal="100" zoomScaleSheetLayoutView="90" workbookViewId="0">
      <selection activeCell="C20" sqref="C20"/>
    </sheetView>
  </sheetViews>
  <sheetFormatPr defaultRowHeight="12.75"/>
  <cols>
    <col min="1" max="1" width="4.42578125" style="544" bestFit="1" customWidth="1"/>
    <col min="2" max="2" width="35" style="544" customWidth="1"/>
    <col min="3" max="3" width="11.42578125" style="544" customWidth="1"/>
    <col min="4" max="4" width="9.28515625" style="545" bestFit="1" customWidth="1"/>
    <col min="5" max="5" width="13.5703125" style="544" customWidth="1"/>
    <col min="6" max="6" width="16.5703125" style="544" bestFit="1" customWidth="1"/>
    <col min="7" max="256" width="9.140625" style="544"/>
    <col min="257" max="257" width="4.42578125" style="544" bestFit="1" customWidth="1"/>
    <col min="258" max="258" width="35" style="544" customWidth="1"/>
    <col min="259" max="259" width="11.42578125" style="544" customWidth="1"/>
    <col min="260" max="260" width="9.28515625" style="544" bestFit="1" customWidth="1"/>
    <col min="261" max="261" width="13.5703125" style="544" customWidth="1"/>
    <col min="262" max="262" width="16.5703125" style="544" bestFit="1" customWidth="1"/>
    <col min="263" max="512" width="9.140625" style="544"/>
    <col min="513" max="513" width="4.42578125" style="544" bestFit="1" customWidth="1"/>
    <col min="514" max="514" width="35" style="544" customWidth="1"/>
    <col min="515" max="515" width="11.42578125" style="544" customWidth="1"/>
    <col min="516" max="516" width="9.28515625" style="544" bestFit="1" customWidth="1"/>
    <col min="517" max="517" width="13.5703125" style="544" customWidth="1"/>
    <col min="518" max="518" width="16.5703125" style="544" bestFit="1" customWidth="1"/>
    <col min="519" max="768" width="9.140625" style="544"/>
    <col min="769" max="769" width="4.42578125" style="544" bestFit="1" customWidth="1"/>
    <col min="770" max="770" width="35" style="544" customWidth="1"/>
    <col min="771" max="771" width="11.42578125" style="544" customWidth="1"/>
    <col min="772" max="772" width="9.28515625" style="544" bestFit="1" customWidth="1"/>
    <col min="773" max="773" width="13.5703125" style="544" customWidth="1"/>
    <col min="774" max="774" width="16.5703125" style="544" bestFit="1" customWidth="1"/>
    <col min="775" max="1024" width="9.140625" style="544"/>
    <col min="1025" max="1025" width="4.42578125" style="544" bestFit="1" customWidth="1"/>
    <col min="1026" max="1026" width="35" style="544" customWidth="1"/>
    <col min="1027" max="1027" width="11.42578125" style="544" customWidth="1"/>
    <col min="1028" max="1028" width="9.28515625" style="544" bestFit="1" customWidth="1"/>
    <col min="1029" max="1029" width="13.5703125" style="544" customWidth="1"/>
    <col min="1030" max="1030" width="16.5703125" style="544" bestFit="1" customWidth="1"/>
    <col min="1031" max="1280" width="9.140625" style="544"/>
    <col min="1281" max="1281" width="4.42578125" style="544" bestFit="1" customWidth="1"/>
    <col min="1282" max="1282" width="35" style="544" customWidth="1"/>
    <col min="1283" max="1283" width="11.42578125" style="544" customWidth="1"/>
    <col min="1284" max="1284" width="9.28515625" style="544" bestFit="1" customWidth="1"/>
    <col min="1285" max="1285" width="13.5703125" style="544" customWidth="1"/>
    <col min="1286" max="1286" width="16.5703125" style="544" bestFit="1" customWidth="1"/>
    <col min="1287" max="1536" width="9.140625" style="544"/>
    <col min="1537" max="1537" width="4.42578125" style="544" bestFit="1" customWidth="1"/>
    <col min="1538" max="1538" width="35" style="544" customWidth="1"/>
    <col min="1539" max="1539" width="11.42578125" style="544" customWidth="1"/>
    <col min="1540" max="1540" width="9.28515625" style="544" bestFit="1" customWidth="1"/>
    <col min="1541" max="1541" width="13.5703125" style="544" customWidth="1"/>
    <col min="1542" max="1542" width="16.5703125" style="544" bestFit="1" customWidth="1"/>
    <col min="1543" max="1792" width="9.140625" style="544"/>
    <col min="1793" max="1793" width="4.42578125" style="544" bestFit="1" customWidth="1"/>
    <col min="1794" max="1794" width="35" style="544" customWidth="1"/>
    <col min="1795" max="1795" width="11.42578125" style="544" customWidth="1"/>
    <col min="1796" max="1796" width="9.28515625" style="544" bestFit="1" customWidth="1"/>
    <col min="1797" max="1797" width="13.5703125" style="544" customWidth="1"/>
    <col min="1798" max="1798" width="16.5703125" style="544" bestFit="1" customWidth="1"/>
    <col min="1799" max="2048" width="9.140625" style="544"/>
    <col min="2049" max="2049" width="4.42578125" style="544" bestFit="1" customWidth="1"/>
    <col min="2050" max="2050" width="35" style="544" customWidth="1"/>
    <col min="2051" max="2051" width="11.42578125" style="544" customWidth="1"/>
    <col min="2052" max="2052" width="9.28515625" style="544" bestFit="1" customWidth="1"/>
    <col min="2053" max="2053" width="13.5703125" style="544" customWidth="1"/>
    <col min="2054" max="2054" width="16.5703125" style="544" bestFit="1" customWidth="1"/>
    <col min="2055" max="2304" width="9.140625" style="544"/>
    <col min="2305" max="2305" width="4.42578125" style="544" bestFit="1" customWidth="1"/>
    <col min="2306" max="2306" width="35" style="544" customWidth="1"/>
    <col min="2307" max="2307" width="11.42578125" style="544" customWidth="1"/>
    <col min="2308" max="2308" width="9.28515625" style="544" bestFit="1" customWidth="1"/>
    <col min="2309" max="2309" width="13.5703125" style="544" customWidth="1"/>
    <col min="2310" max="2310" width="16.5703125" style="544" bestFit="1" customWidth="1"/>
    <col min="2311" max="2560" width="9.140625" style="544"/>
    <col min="2561" max="2561" width="4.42578125" style="544" bestFit="1" customWidth="1"/>
    <col min="2562" max="2562" width="35" style="544" customWidth="1"/>
    <col min="2563" max="2563" width="11.42578125" style="544" customWidth="1"/>
    <col min="2564" max="2564" width="9.28515625" style="544" bestFit="1" customWidth="1"/>
    <col min="2565" max="2565" width="13.5703125" style="544" customWidth="1"/>
    <col min="2566" max="2566" width="16.5703125" style="544" bestFit="1" customWidth="1"/>
    <col min="2567" max="2816" width="9.140625" style="544"/>
    <col min="2817" max="2817" width="4.42578125" style="544" bestFit="1" customWidth="1"/>
    <col min="2818" max="2818" width="35" style="544" customWidth="1"/>
    <col min="2819" max="2819" width="11.42578125" style="544" customWidth="1"/>
    <col min="2820" max="2820" width="9.28515625" style="544" bestFit="1" customWidth="1"/>
    <col min="2821" max="2821" width="13.5703125" style="544" customWidth="1"/>
    <col min="2822" max="2822" width="16.5703125" style="544" bestFit="1" customWidth="1"/>
    <col min="2823" max="3072" width="9.140625" style="544"/>
    <col min="3073" max="3073" width="4.42578125" style="544" bestFit="1" customWidth="1"/>
    <col min="3074" max="3074" width="35" style="544" customWidth="1"/>
    <col min="3075" max="3075" width="11.42578125" style="544" customWidth="1"/>
    <col min="3076" max="3076" width="9.28515625" style="544" bestFit="1" customWidth="1"/>
    <col min="3077" max="3077" width="13.5703125" style="544" customWidth="1"/>
    <col min="3078" max="3078" width="16.5703125" style="544" bestFit="1" customWidth="1"/>
    <col min="3079" max="3328" width="9.140625" style="544"/>
    <col min="3329" max="3329" width="4.42578125" style="544" bestFit="1" customWidth="1"/>
    <col min="3330" max="3330" width="35" style="544" customWidth="1"/>
    <col min="3331" max="3331" width="11.42578125" style="544" customWidth="1"/>
    <col min="3332" max="3332" width="9.28515625" style="544" bestFit="1" customWidth="1"/>
    <col min="3333" max="3333" width="13.5703125" style="544" customWidth="1"/>
    <col min="3334" max="3334" width="16.5703125" style="544" bestFit="1" customWidth="1"/>
    <col min="3335" max="3584" width="9.140625" style="544"/>
    <col min="3585" max="3585" width="4.42578125" style="544" bestFit="1" customWidth="1"/>
    <col min="3586" max="3586" width="35" style="544" customWidth="1"/>
    <col min="3587" max="3587" width="11.42578125" style="544" customWidth="1"/>
    <col min="3588" max="3588" width="9.28515625" style="544" bestFit="1" customWidth="1"/>
    <col min="3589" max="3589" width="13.5703125" style="544" customWidth="1"/>
    <col min="3590" max="3590" width="16.5703125" style="544" bestFit="1" customWidth="1"/>
    <col min="3591" max="3840" width="9.140625" style="544"/>
    <col min="3841" max="3841" width="4.42578125" style="544" bestFit="1" customWidth="1"/>
    <col min="3842" max="3842" width="35" style="544" customWidth="1"/>
    <col min="3843" max="3843" width="11.42578125" style="544" customWidth="1"/>
    <col min="3844" max="3844" width="9.28515625" style="544" bestFit="1" customWidth="1"/>
    <col min="3845" max="3845" width="13.5703125" style="544" customWidth="1"/>
    <col min="3846" max="3846" width="16.5703125" style="544" bestFit="1" customWidth="1"/>
    <col min="3847" max="4096" width="9.140625" style="544"/>
    <col min="4097" max="4097" width="4.42578125" style="544" bestFit="1" customWidth="1"/>
    <col min="4098" max="4098" width="35" style="544" customWidth="1"/>
    <col min="4099" max="4099" width="11.42578125" style="544" customWidth="1"/>
    <col min="4100" max="4100" width="9.28515625" style="544" bestFit="1" customWidth="1"/>
    <col min="4101" max="4101" width="13.5703125" style="544" customWidth="1"/>
    <col min="4102" max="4102" width="16.5703125" style="544" bestFit="1" customWidth="1"/>
    <col min="4103" max="4352" width="9.140625" style="544"/>
    <col min="4353" max="4353" width="4.42578125" style="544" bestFit="1" customWidth="1"/>
    <col min="4354" max="4354" width="35" style="544" customWidth="1"/>
    <col min="4355" max="4355" width="11.42578125" style="544" customWidth="1"/>
    <col min="4356" max="4356" width="9.28515625" style="544" bestFit="1" customWidth="1"/>
    <col min="4357" max="4357" width="13.5703125" style="544" customWidth="1"/>
    <col min="4358" max="4358" width="16.5703125" style="544" bestFit="1" customWidth="1"/>
    <col min="4359" max="4608" width="9.140625" style="544"/>
    <col min="4609" max="4609" width="4.42578125" style="544" bestFit="1" customWidth="1"/>
    <col min="4610" max="4610" width="35" style="544" customWidth="1"/>
    <col min="4611" max="4611" width="11.42578125" style="544" customWidth="1"/>
    <col min="4612" max="4612" width="9.28515625" style="544" bestFit="1" customWidth="1"/>
    <col min="4613" max="4613" width="13.5703125" style="544" customWidth="1"/>
    <col min="4614" max="4614" width="16.5703125" style="544" bestFit="1" customWidth="1"/>
    <col min="4615" max="4864" width="9.140625" style="544"/>
    <col min="4865" max="4865" width="4.42578125" style="544" bestFit="1" customWidth="1"/>
    <col min="4866" max="4866" width="35" style="544" customWidth="1"/>
    <col min="4867" max="4867" width="11.42578125" style="544" customWidth="1"/>
    <col min="4868" max="4868" width="9.28515625" style="544" bestFit="1" customWidth="1"/>
    <col min="4869" max="4869" width="13.5703125" style="544" customWidth="1"/>
    <col min="4870" max="4870" width="16.5703125" style="544" bestFit="1" customWidth="1"/>
    <col min="4871" max="5120" width="9.140625" style="544"/>
    <col min="5121" max="5121" width="4.42578125" style="544" bestFit="1" customWidth="1"/>
    <col min="5122" max="5122" width="35" style="544" customWidth="1"/>
    <col min="5123" max="5123" width="11.42578125" style="544" customWidth="1"/>
    <col min="5124" max="5124" width="9.28515625" style="544" bestFit="1" customWidth="1"/>
    <col min="5125" max="5125" width="13.5703125" style="544" customWidth="1"/>
    <col min="5126" max="5126" width="16.5703125" style="544" bestFit="1" customWidth="1"/>
    <col min="5127" max="5376" width="9.140625" style="544"/>
    <col min="5377" max="5377" width="4.42578125" style="544" bestFit="1" customWidth="1"/>
    <col min="5378" max="5378" width="35" style="544" customWidth="1"/>
    <col min="5379" max="5379" width="11.42578125" style="544" customWidth="1"/>
    <col min="5380" max="5380" width="9.28515625" style="544" bestFit="1" customWidth="1"/>
    <col min="5381" max="5381" width="13.5703125" style="544" customWidth="1"/>
    <col min="5382" max="5382" width="16.5703125" style="544" bestFit="1" customWidth="1"/>
    <col min="5383" max="5632" width="9.140625" style="544"/>
    <col min="5633" max="5633" width="4.42578125" style="544" bestFit="1" customWidth="1"/>
    <col min="5634" max="5634" width="35" style="544" customWidth="1"/>
    <col min="5635" max="5635" width="11.42578125" style="544" customWidth="1"/>
    <col min="5636" max="5636" width="9.28515625" style="544" bestFit="1" customWidth="1"/>
    <col min="5637" max="5637" width="13.5703125" style="544" customWidth="1"/>
    <col min="5638" max="5638" width="16.5703125" style="544" bestFit="1" customWidth="1"/>
    <col min="5639" max="5888" width="9.140625" style="544"/>
    <col min="5889" max="5889" width="4.42578125" style="544" bestFit="1" customWidth="1"/>
    <col min="5890" max="5890" width="35" style="544" customWidth="1"/>
    <col min="5891" max="5891" width="11.42578125" style="544" customWidth="1"/>
    <col min="5892" max="5892" width="9.28515625" style="544" bestFit="1" customWidth="1"/>
    <col min="5893" max="5893" width="13.5703125" style="544" customWidth="1"/>
    <col min="5894" max="5894" width="16.5703125" style="544" bestFit="1" customWidth="1"/>
    <col min="5895" max="6144" width="9.140625" style="544"/>
    <col min="6145" max="6145" width="4.42578125" style="544" bestFit="1" customWidth="1"/>
    <col min="6146" max="6146" width="35" style="544" customWidth="1"/>
    <col min="6147" max="6147" width="11.42578125" style="544" customWidth="1"/>
    <col min="6148" max="6148" width="9.28515625" style="544" bestFit="1" customWidth="1"/>
    <col min="6149" max="6149" width="13.5703125" style="544" customWidth="1"/>
    <col min="6150" max="6150" width="16.5703125" style="544" bestFit="1" customWidth="1"/>
    <col min="6151" max="6400" width="9.140625" style="544"/>
    <col min="6401" max="6401" width="4.42578125" style="544" bestFit="1" customWidth="1"/>
    <col min="6402" max="6402" width="35" style="544" customWidth="1"/>
    <col min="6403" max="6403" width="11.42578125" style="544" customWidth="1"/>
    <col min="6404" max="6404" width="9.28515625" style="544" bestFit="1" customWidth="1"/>
    <col min="6405" max="6405" width="13.5703125" style="544" customWidth="1"/>
    <col min="6406" max="6406" width="16.5703125" style="544" bestFit="1" customWidth="1"/>
    <col min="6407" max="6656" width="9.140625" style="544"/>
    <col min="6657" max="6657" width="4.42578125" style="544" bestFit="1" customWidth="1"/>
    <col min="6658" max="6658" width="35" style="544" customWidth="1"/>
    <col min="6659" max="6659" width="11.42578125" style="544" customWidth="1"/>
    <col min="6660" max="6660" width="9.28515625" style="544" bestFit="1" customWidth="1"/>
    <col min="6661" max="6661" width="13.5703125" style="544" customWidth="1"/>
    <col min="6662" max="6662" width="16.5703125" style="544" bestFit="1" customWidth="1"/>
    <col min="6663" max="6912" width="9.140625" style="544"/>
    <col min="6913" max="6913" width="4.42578125" style="544" bestFit="1" customWidth="1"/>
    <col min="6914" max="6914" width="35" style="544" customWidth="1"/>
    <col min="6915" max="6915" width="11.42578125" style="544" customWidth="1"/>
    <col min="6916" max="6916" width="9.28515625" style="544" bestFit="1" customWidth="1"/>
    <col min="6917" max="6917" width="13.5703125" style="544" customWidth="1"/>
    <col min="6918" max="6918" width="16.5703125" style="544" bestFit="1" customWidth="1"/>
    <col min="6919" max="7168" width="9.140625" style="544"/>
    <col min="7169" max="7169" width="4.42578125" style="544" bestFit="1" customWidth="1"/>
    <col min="7170" max="7170" width="35" style="544" customWidth="1"/>
    <col min="7171" max="7171" width="11.42578125" style="544" customWidth="1"/>
    <col min="7172" max="7172" width="9.28515625" style="544" bestFit="1" customWidth="1"/>
    <col min="7173" max="7173" width="13.5703125" style="544" customWidth="1"/>
    <col min="7174" max="7174" width="16.5703125" style="544" bestFit="1" customWidth="1"/>
    <col min="7175" max="7424" width="9.140625" style="544"/>
    <col min="7425" max="7425" width="4.42578125" style="544" bestFit="1" customWidth="1"/>
    <col min="7426" max="7426" width="35" style="544" customWidth="1"/>
    <col min="7427" max="7427" width="11.42578125" style="544" customWidth="1"/>
    <col min="7428" max="7428" width="9.28515625" style="544" bestFit="1" customWidth="1"/>
    <col min="7429" max="7429" width="13.5703125" style="544" customWidth="1"/>
    <col min="7430" max="7430" width="16.5703125" style="544" bestFit="1" customWidth="1"/>
    <col min="7431" max="7680" width="9.140625" style="544"/>
    <col min="7681" max="7681" width="4.42578125" style="544" bestFit="1" customWidth="1"/>
    <col min="7682" max="7682" width="35" style="544" customWidth="1"/>
    <col min="7683" max="7683" width="11.42578125" style="544" customWidth="1"/>
    <col min="7684" max="7684" width="9.28515625" style="544" bestFit="1" customWidth="1"/>
    <col min="7685" max="7685" width="13.5703125" style="544" customWidth="1"/>
    <col min="7686" max="7686" width="16.5703125" style="544" bestFit="1" customWidth="1"/>
    <col min="7687" max="7936" width="9.140625" style="544"/>
    <col min="7937" max="7937" width="4.42578125" style="544" bestFit="1" customWidth="1"/>
    <col min="7938" max="7938" width="35" style="544" customWidth="1"/>
    <col min="7939" max="7939" width="11.42578125" style="544" customWidth="1"/>
    <col min="7940" max="7940" width="9.28515625" style="544" bestFit="1" customWidth="1"/>
    <col min="7941" max="7941" width="13.5703125" style="544" customWidth="1"/>
    <col min="7942" max="7942" width="16.5703125" style="544" bestFit="1" customWidth="1"/>
    <col min="7943" max="8192" width="9.140625" style="544"/>
    <col min="8193" max="8193" width="4.42578125" style="544" bestFit="1" customWidth="1"/>
    <col min="8194" max="8194" width="35" style="544" customWidth="1"/>
    <col min="8195" max="8195" width="11.42578125" style="544" customWidth="1"/>
    <col min="8196" max="8196" width="9.28515625" style="544" bestFit="1" customWidth="1"/>
    <col min="8197" max="8197" width="13.5703125" style="544" customWidth="1"/>
    <col min="8198" max="8198" width="16.5703125" style="544" bestFit="1" customWidth="1"/>
    <col min="8199" max="8448" width="9.140625" style="544"/>
    <col min="8449" max="8449" width="4.42578125" style="544" bestFit="1" customWidth="1"/>
    <col min="8450" max="8450" width="35" style="544" customWidth="1"/>
    <col min="8451" max="8451" width="11.42578125" style="544" customWidth="1"/>
    <col min="8452" max="8452" width="9.28515625" style="544" bestFit="1" customWidth="1"/>
    <col min="8453" max="8453" width="13.5703125" style="544" customWidth="1"/>
    <col min="8454" max="8454" width="16.5703125" style="544" bestFit="1" customWidth="1"/>
    <col min="8455" max="8704" width="9.140625" style="544"/>
    <col min="8705" max="8705" width="4.42578125" style="544" bestFit="1" customWidth="1"/>
    <col min="8706" max="8706" width="35" style="544" customWidth="1"/>
    <col min="8707" max="8707" width="11.42578125" style="544" customWidth="1"/>
    <col min="8708" max="8708" width="9.28515625" style="544" bestFit="1" customWidth="1"/>
    <col min="8709" max="8709" width="13.5703125" style="544" customWidth="1"/>
    <col min="8710" max="8710" width="16.5703125" style="544" bestFit="1" customWidth="1"/>
    <col min="8711" max="8960" width="9.140625" style="544"/>
    <col min="8961" max="8961" width="4.42578125" style="544" bestFit="1" customWidth="1"/>
    <col min="8962" max="8962" width="35" style="544" customWidth="1"/>
    <col min="8963" max="8963" width="11.42578125" style="544" customWidth="1"/>
    <col min="8964" max="8964" width="9.28515625" style="544" bestFit="1" customWidth="1"/>
    <col min="8965" max="8965" width="13.5703125" style="544" customWidth="1"/>
    <col min="8966" max="8966" width="16.5703125" style="544" bestFit="1" customWidth="1"/>
    <col min="8967" max="9216" width="9.140625" style="544"/>
    <col min="9217" max="9217" width="4.42578125" style="544" bestFit="1" customWidth="1"/>
    <col min="9218" max="9218" width="35" style="544" customWidth="1"/>
    <col min="9219" max="9219" width="11.42578125" style="544" customWidth="1"/>
    <col min="9220" max="9220" width="9.28515625" style="544" bestFit="1" customWidth="1"/>
    <col min="9221" max="9221" width="13.5703125" style="544" customWidth="1"/>
    <col min="9222" max="9222" width="16.5703125" style="544" bestFit="1" customWidth="1"/>
    <col min="9223" max="9472" width="9.140625" style="544"/>
    <col min="9473" max="9473" width="4.42578125" style="544" bestFit="1" customWidth="1"/>
    <col min="9474" max="9474" width="35" style="544" customWidth="1"/>
    <col min="9475" max="9475" width="11.42578125" style="544" customWidth="1"/>
    <col min="9476" max="9476" width="9.28515625" style="544" bestFit="1" customWidth="1"/>
    <col min="9477" max="9477" width="13.5703125" style="544" customWidth="1"/>
    <col min="9478" max="9478" width="16.5703125" style="544" bestFit="1" customWidth="1"/>
    <col min="9479" max="9728" width="9.140625" style="544"/>
    <col min="9729" max="9729" width="4.42578125" style="544" bestFit="1" customWidth="1"/>
    <col min="9730" max="9730" width="35" style="544" customWidth="1"/>
    <col min="9731" max="9731" width="11.42578125" style="544" customWidth="1"/>
    <col min="9732" max="9732" width="9.28515625" style="544" bestFit="1" customWidth="1"/>
    <col min="9733" max="9733" width="13.5703125" style="544" customWidth="1"/>
    <col min="9734" max="9734" width="16.5703125" style="544" bestFit="1" customWidth="1"/>
    <col min="9735" max="9984" width="9.140625" style="544"/>
    <col min="9985" max="9985" width="4.42578125" style="544" bestFit="1" customWidth="1"/>
    <col min="9986" max="9986" width="35" style="544" customWidth="1"/>
    <col min="9987" max="9987" width="11.42578125" style="544" customWidth="1"/>
    <col min="9988" max="9988" width="9.28515625" style="544" bestFit="1" customWidth="1"/>
    <col min="9989" max="9989" width="13.5703125" style="544" customWidth="1"/>
    <col min="9990" max="9990" width="16.5703125" style="544" bestFit="1" customWidth="1"/>
    <col min="9991" max="10240" width="9.140625" style="544"/>
    <col min="10241" max="10241" width="4.42578125" style="544" bestFit="1" customWidth="1"/>
    <col min="10242" max="10242" width="35" style="544" customWidth="1"/>
    <col min="10243" max="10243" width="11.42578125" style="544" customWidth="1"/>
    <col min="10244" max="10244" width="9.28515625" style="544" bestFit="1" customWidth="1"/>
    <col min="10245" max="10245" width="13.5703125" style="544" customWidth="1"/>
    <col min="10246" max="10246" width="16.5703125" style="544" bestFit="1" customWidth="1"/>
    <col min="10247" max="10496" width="9.140625" style="544"/>
    <col min="10497" max="10497" width="4.42578125" style="544" bestFit="1" customWidth="1"/>
    <col min="10498" max="10498" width="35" style="544" customWidth="1"/>
    <col min="10499" max="10499" width="11.42578125" style="544" customWidth="1"/>
    <col min="10500" max="10500" width="9.28515625" style="544" bestFit="1" customWidth="1"/>
    <col min="10501" max="10501" width="13.5703125" style="544" customWidth="1"/>
    <col min="10502" max="10502" width="16.5703125" style="544" bestFit="1" customWidth="1"/>
    <col min="10503" max="10752" width="9.140625" style="544"/>
    <col min="10753" max="10753" width="4.42578125" style="544" bestFit="1" customWidth="1"/>
    <col min="10754" max="10754" width="35" style="544" customWidth="1"/>
    <col min="10755" max="10755" width="11.42578125" style="544" customWidth="1"/>
    <col min="10756" max="10756" width="9.28515625" style="544" bestFit="1" customWidth="1"/>
    <col min="10757" max="10757" width="13.5703125" style="544" customWidth="1"/>
    <col min="10758" max="10758" width="16.5703125" style="544" bestFit="1" customWidth="1"/>
    <col min="10759" max="11008" width="9.140625" style="544"/>
    <col min="11009" max="11009" width="4.42578125" style="544" bestFit="1" customWidth="1"/>
    <col min="11010" max="11010" width="35" style="544" customWidth="1"/>
    <col min="11011" max="11011" width="11.42578125" style="544" customWidth="1"/>
    <col min="11012" max="11012" width="9.28515625" style="544" bestFit="1" customWidth="1"/>
    <col min="11013" max="11013" width="13.5703125" style="544" customWidth="1"/>
    <col min="11014" max="11014" width="16.5703125" style="544" bestFit="1" customWidth="1"/>
    <col min="11015" max="11264" width="9.140625" style="544"/>
    <col min="11265" max="11265" width="4.42578125" style="544" bestFit="1" customWidth="1"/>
    <col min="11266" max="11266" width="35" style="544" customWidth="1"/>
    <col min="11267" max="11267" width="11.42578125" style="544" customWidth="1"/>
    <col min="11268" max="11268" width="9.28515625" style="544" bestFit="1" customWidth="1"/>
    <col min="11269" max="11269" width="13.5703125" style="544" customWidth="1"/>
    <col min="11270" max="11270" width="16.5703125" style="544" bestFit="1" customWidth="1"/>
    <col min="11271" max="11520" width="9.140625" style="544"/>
    <col min="11521" max="11521" width="4.42578125" style="544" bestFit="1" customWidth="1"/>
    <col min="11522" max="11522" width="35" style="544" customWidth="1"/>
    <col min="11523" max="11523" width="11.42578125" style="544" customWidth="1"/>
    <col min="11524" max="11524" width="9.28515625" style="544" bestFit="1" customWidth="1"/>
    <col min="11525" max="11525" width="13.5703125" style="544" customWidth="1"/>
    <col min="11526" max="11526" width="16.5703125" style="544" bestFit="1" customWidth="1"/>
    <col min="11527" max="11776" width="9.140625" style="544"/>
    <col min="11777" max="11777" width="4.42578125" style="544" bestFit="1" customWidth="1"/>
    <col min="11778" max="11778" width="35" style="544" customWidth="1"/>
    <col min="11779" max="11779" width="11.42578125" style="544" customWidth="1"/>
    <col min="11780" max="11780" width="9.28515625" style="544" bestFit="1" customWidth="1"/>
    <col min="11781" max="11781" width="13.5703125" style="544" customWidth="1"/>
    <col min="11782" max="11782" width="16.5703125" style="544" bestFit="1" customWidth="1"/>
    <col min="11783" max="12032" width="9.140625" style="544"/>
    <col min="12033" max="12033" width="4.42578125" style="544" bestFit="1" customWidth="1"/>
    <col min="12034" max="12034" width="35" style="544" customWidth="1"/>
    <col min="12035" max="12035" width="11.42578125" style="544" customWidth="1"/>
    <col min="12036" max="12036" width="9.28515625" style="544" bestFit="1" customWidth="1"/>
    <col min="12037" max="12037" width="13.5703125" style="544" customWidth="1"/>
    <col min="12038" max="12038" width="16.5703125" style="544" bestFit="1" customWidth="1"/>
    <col min="12039" max="12288" width="9.140625" style="544"/>
    <col min="12289" max="12289" width="4.42578125" style="544" bestFit="1" customWidth="1"/>
    <col min="12290" max="12290" width="35" style="544" customWidth="1"/>
    <col min="12291" max="12291" width="11.42578125" style="544" customWidth="1"/>
    <col min="12292" max="12292" width="9.28515625" style="544" bestFit="1" customWidth="1"/>
    <col min="12293" max="12293" width="13.5703125" style="544" customWidth="1"/>
    <col min="12294" max="12294" width="16.5703125" style="544" bestFit="1" customWidth="1"/>
    <col min="12295" max="12544" width="9.140625" style="544"/>
    <col min="12545" max="12545" width="4.42578125" style="544" bestFit="1" customWidth="1"/>
    <col min="12546" max="12546" width="35" style="544" customWidth="1"/>
    <col min="12547" max="12547" width="11.42578125" style="544" customWidth="1"/>
    <col min="12548" max="12548" width="9.28515625" style="544" bestFit="1" customWidth="1"/>
    <col min="12549" max="12549" width="13.5703125" style="544" customWidth="1"/>
    <col min="12550" max="12550" width="16.5703125" style="544" bestFit="1" customWidth="1"/>
    <col min="12551" max="12800" width="9.140625" style="544"/>
    <col min="12801" max="12801" width="4.42578125" style="544" bestFit="1" customWidth="1"/>
    <col min="12802" max="12802" width="35" style="544" customWidth="1"/>
    <col min="12803" max="12803" width="11.42578125" style="544" customWidth="1"/>
    <col min="12804" max="12804" width="9.28515625" style="544" bestFit="1" customWidth="1"/>
    <col min="12805" max="12805" width="13.5703125" style="544" customWidth="1"/>
    <col min="12806" max="12806" width="16.5703125" style="544" bestFit="1" customWidth="1"/>
    <col min="12807" max="13056" width="9.140625" style="544"/>
    <col min="13057" max="13057" width="4.42578125" style="544" bestFit="1" customWidth="1"/>
    <col min="13058" max="13058" width="35" style="544" customWidth="1"/>
    <col min="13059" max="13059" width="11.42578125" style="544" customWidth="1"/>
    <col min="13060" max="13060" width="9.28515625" style="544" bestFit="1" customWidth="1"/>
    <col min="13061" max="13061" width="13.5703125" style="544" customWidth="1"/>
    <col min="13062" max="13062" width="16.5703125" style="544" bestFit="1" customWidth="1"/>
    <col min="13063" max="13312" width="9.140625" style="544"/>
    <col min="13313" max="13313" width="4.42578125" style="544" bestFit="1" customWidth="1"/>
    <col min="13314" max="13314" width="35" style="544" customWidth="1"/>
    <col min="13315" max="13315" width="11.42578125" style="544" customWidth="1"/>
    <col min="13316" max="13316" width="9.28515625" style="544" bestFit="1" customWidth="1"/>
    <col min="13317" max="13317" width="13.5703125" style="544" customWidth="1"/>
    <col min="13318" max="13318" width="16.5703125" style="544" bestFit="1" customWidth="1"/>
    <col min="13319" max="13568" width="9.140625" style="544"/>
    <col min="13569" max="13569" width="4.42578125" style="544" bestFit="1" customWidth="1"/>
    <col min="13570" max="13570" width="35" style="544" customWidth="1"/>
    <col min="13571" max="13571" width="11.42578125" style="544" customWidth="1"/>
    <col min="13572" max="13572" width="9.28515625" style="544" bestFit="1" customWidth="1"/>
    <col min="13573" max="13573" width="13.5703125" style="544" customWidth="1"/>
    <col min="13574" max="13574" width="16.5703125" style="544" bestFit="1" customWidth="1"/>
    <col min="13575" max="13824" width="9.140625" style="544"/>
    <col min="13825" max="13825" width="4.42578125" style="544" bestFit="1" customWidth="1"/>
    <col min="13826" max="13826" width="35" style="544" customWidth="1"/>
    <col min="13827" max="13827" width="11.42578125" style="544" customWidth="1"/>
    <col min="13828" max="13828" width="9.28515625" style="544" bestFit="1" customWidth="1"/>
    <col min="13829" max="13829" width="13.5703125" style="544" customWidth="1"/>
    <col min="13830" max="13830" width="16.5703125" style="544" bestFit="1" customWidth="1"/>
    <col min="13831" max="14080" width="9.140625" style="544"/>
    <col min="14081" max="14081" width="4.42578125" style="544" bestFit="1" customWidth="1"/>
    <col min="14082" max="14082" width="35" style="544" customWidth="1"/>
    <col min="14083" max="14083" width="11.42578125" style="544" customWidth="1"/>
    <col min="14084" max="14084" width="9.28515625" style="544" bestFit="1" customWidth="1"/>
    <col min="14085" max="14085" width="13.5703125" style="544" customWidth="1"/>
    <col min="14086" max="14086" width="16.5703125" style="544" bestFit="1" customWidth="1"/>
    <col min="14087" max="14336" width="9.140625" style="544"/>
    <col min="14337" max="14337" width="4.42578125" style="544" bestFit="1" customWidth="1"/>
    <col min="14338" max="14338" width="35" style="544" customWidth="1"/>
    <col min="14339" max="14339" width="11.42578125" style="544" customWidth="1"/>
    <col min="14340" max="14340" width="9.28515625" style="544" bestFit="1" customWidth="1"/>
    <col min="14341" max="14341" width="13.5703125" style="544" customWidth="1"/>
    <col min="14342" max="14342" width="16.5703125" style="544" bestFit="1" customWidth="1"/>
    <col min="14343" max="14592" width="9.140625" style="544"/>
    <col min="14593" max="14593" width="4.42578125" style="544" bestFit="1" customWidth="1"/>
    <col min="14594" max="14594" width="35" style="544" customWidth="1"/>
    <col min="14595" max="14595" width="11.42578125" style="544" customWidth="1"/>
    <col min="14596" max="14596" width="9.28515625" style="544" bestFit="1" customWidth="1"/>
    <col min="14597" max="14597" width="13.5703125" style="544" customWidth="1"/>
    <col min="14598" max="14598" width="16.5703125" style="544" bestFit="1" customWidth="1"/>
    <col min="14599" max="14848" width="9.140625" style="544"/>
    <col min="14849" max="14849" width="4.42578125" style="544" bestFit="1" customWidth="1"/>
    <col min="14850" max="14850" width="35" style="544" customWidth="1"/>
    <col min="14851" max="14851" width="11.42578125" style="544" customWidth="1"/>
    <col min="14852" max="14852" width="9.28515625" style="544" bestFit="1" customWidth="1"/>
    <col min="14853" max="14853" width="13.5703125" style="544" customWidth="1"/>
    <col min="14854" max="14854" width="16.5703125" style="544" bestFit="1" customWidth="1"/>
    <col min="14855" max="15104" width="9.140625" style="544"/>
    <col min="15105" max="15105" width="4.42578125" style="544" bestFit="1" customWidth="1"/>
    <col min="15106" max="15106" width="35" style="544" customWidth="1"/>
    <col min="15107" max="15107" width="11.42578125" style="544" customWidth="1"/>
    <col min="15108" max="15108" width="9.28515625" style="544" bestFit="1" customWidth="1"/>
    <col min="15109" max="15109" width="13.5703125" style="544" customWidth="1"/>
    <col min="15110" max="15110" width="16.5703125" style="544" bestFit="1" customWidth="1"/>
    <col min="15111" max="15360" width="9.140625" style="544"/>
    <col min="15361" max="15361" width="4.42578125" style="544" bestFit="1" customWidth="1"/>
    <col min="15362" max="15362" width="35" style="544" customWidth="1"/>
    <col min="15363" max="15363" width="11.42578125" style="544" customWidth="1"/>
    <col min="15364" max="15364" width="9.28515625" style="544" bestFit="1" customWidth="1"/>
    <col min="15365" max="15365" width="13.5703125" style="544" customWidth="1"/>
    <col min="15366" max="15366" width="16.5703125" style="544" bestFit="1" customWidth="1"/>
    <col min="15367" max="15616" width="9.140625" style="544"/>
    <col min="15617" max="15617" width="4.42578125" style="544" bestFit="1" customWidth="1"/>
    <col min="15618" max="15618" width="35" style="544" customWidth="1"/>
    <col min="15619" max="15619" width="11.42578125" style="544" customWidth="1"/>
    <col min="15620" max="15620" width="9.28515625" style="544" bestFit="1" customWidth="1"/>
    <col min="15621" max="15621" width="13.5703125" style="544" customWidth="1"/>
    <col min="15622" max="15622" width="16.5703125" style="544" bestFit="1" customWidth="1"/>
    <col min="15623" max="15872" width="9.140625" style="544"/>
    <col min="15873" max="15873" width="4.42578125" style="544" bestFit="1" customWidth="1"/>
    <col min="15874" max="15874" width="35" style="544" customWidth="1"/>
    <col min="15875" max="15875" width="11.42578125" style="544" customWidth="1"/>
    <col min="15876" max="15876" width="9.28515625" style="544" bestFit="1" customWidth="1"/>
    <col min="15877" max="15877" width="13.5703125" style="544" customWidth="1"/>
    <col min="15878" max="15878" width="16.5703125" style="544" bestFit="1" customWidth="1"/>
    <col min="15879" max="16128" width="9.140625" style="544"/>
    <col min="16129" max="16129" width="4.42578125" style="544" bestFit="1" customWidth="1"/>
    <col min="16130" max="16130" width="35" style="544" customWidth="1"/>
    <col min="16131" max="16131" width="11.42578125" style="544" customWidth="1"/>
    <col min="16132" max="16132" width="9.28515625" style="544" bestFit="1" customWidth="1"/>
    <col min="16133" max="16133" width="13.5703125" style="544" customWidth="1"/>
    <col min="16134" max="16134" width="16.5703125" style="544" bestFit="1" customWidth="1"/>
    <col min="16135" max="16384" width="9.140625" style="544"/>
  </cols>
  <sheetData>
    <row r="1" spans="1:18">
      <c r="F1" s="546" t="s">
        <v>756</v>
      </c>
    </row>
    <row r="2" spans="1:18">
      <c r="F2" s="547" t="s">
        <v>807</v>
      </c>
    </row>
    <row r="4" spans="1:18">
      <c r="A4" s="948" t="s">
        <v>658</v>
      </c>
      <c r="B4" s="948"/>
      <c r="C4" s="948"/>
      <c r="D4" s="948"/>
      <c r="E4" s="948"/>
      <c r="F4" s="948"/>
    </row>
    <row r="5" spans="1:18">
      <c r="A5" s="948" t="s">
        <v>166</v>
      </c>
      <c r="B5" s="948"/>
      <c r="C5" s="948"/>
      <c r="D5" s="948"/>
      <c r="E5" s="948"/>
      <c r="F5" s="948"/>
      <c r="G5" s="548"/>
      <c r="H5" s="548"/>
      <c r="I5" s="548"/>
      <c r="J5" s="548"/>
      <c r="K5" s="548"/>
      <c r="L5" s="548"/>
      <c r="M5" s="548"/>
      <c r="N5" s="548"/>
      <c r="O5" s="548"/>
      <c r="P5" s="548"/>
      <c r="Q5" s="548"/>
      <c r="R5" s="548"/>
    </row>
    <row r="6" spans="1:18">
      <c r="A6" s="948" t="s">
        <v>808</v>
      </c>
      <c r="B6" s="948"/>
      <c r="C6" s="948"/>
      <c r="D6" s="948"/>
      <c r="E6" s="948"/>
      <c r="F6" s="948"/>
      <c r="G6" s="549"/>
    </row>
    <row r="7" spans="1:18">
      <c r="A7" s="949" t="s">
        <v>757</v>
      </c>
      <c r="B7" s="948"/>
      <c r="C7" s="948"/>
      <c r="D7" s="948"/>
      <c r="E7" s="948"/>
      <c r="F7" s="948"/>
      <c r="G7" s="549"/>
    </row>
    <row r="8" spans="1:18">
      <c r="A8" s="949"/>
      <c r="B8" s="949"/>
      <c r="C8" s="949"/>
      <c r="D8" s="949"/>
      <c r="E8" s="949"/>
      <c r="F8" s="949"/>
      <c r="G8" s="549"/>
    </row>
    <row r="9" spans="1:18">
      <c r="A9" s="873"/>
      <c r="B9" s="873"/>
      <c r="C9" s="873"/>
      <c r="D9" s="873"/>
      <c r="E9" s="873"/>
      <c r="F9" s="873"/>
      <c r="G9" s="549"/>
    </row>
    <row r="10" spans="1:18" s="552" customFormat="1">
      <c r="A10" s="550"/>
      <c r="B10" s="550"/>
      <c r="C10" s="550"/>
      <c r="D10" s="551"/>
      <c r="E10" s="550"/>
      <c r="F10" s="550"/>
      <c r="G10" s="550"/>
    </row>
    <row r="11" spans="1:18">
      <c r="A11" s="550"/>
      <c r="B11" s="553" t="s">
        <v>809</v>
      </c>
      <c r="C11" s="550"/>
      <c r="D11" s="551"/>
      <c r="E11" s="550"/>
      <c r="F11" s="550"/>
      <c r="G11" s="549"/>
    </row>
    <row r="12" spans="1:18">
      <c r="A12" s="554"/>
      <c r="B12" s="553" t="s">
        <v>810</v>
      </c>
      <c r="C12" s="554"/>
      <c r="D12" s="555"/>
      <c r="E12" s="554"/>
      <c r="F12" s="554"/>
      <c r="G12" s="549"/>
    </row>
    <row r="13" spans="1:18">
      <c r="A13" s="554"/>
      <c r="B13" s="549"/>
      <c r="C13" s="554"/>
      <c r="D13" s="555"/>
      <c r="E13" s="554"/>
      <c r="F13" s="554"/>
      <c r="G13" s="549"/>
    </row>
    <row r="14" spans="1:18">
      <c r="A14" s="554"/>
      <c r="B14" s="549"/>
      <c r="C14" s="554"/>
      <c r="D14" s="555"/>
      <c r="E14" s="554"/>
      <c r="F14" s="554"/>
      <c r="G14" s="549"/>
    </row>
    <row r="15" spans="1:18">
      <c r="A15" s="554"/>
      <c r="B15" s="549"/>
      <c r="C15" s="554"/>
      <c r="D15" s="555"/>
      <c r="E15" s="554"/>
      <c r="F15" s="554"/>
      <c r="G15" s="549"/>
    </row>
    <row r="16" spans="1:18">
      <c r="A16" s="554"/>
      <c r="B16" s="549"/>
      <c r="C16" s="554"/>
      <c r="D16" s="555"/>
      <c r="E16" s="554"/>
      <c r="F16" s="554"/>
      <c r="G16" s="549"/>
    </row>
    <row r="17" spans="1:7">
      <c r="A17" s="554"/>
      <c r="B17" s="549"/>
      <c r="C17" s="554"/>
      <c r="D17" s="555"/>
      <c r="E17" s="554"/>
      <c r="F17" s="554"/>
      <c r="G17" s="549"/>
    </row>
    <row r="18" spans="1:7">
      <c r="A18" s="554"/>
      <c r="B18" s="549"/>
      <c r="C18" s="554"/>
      <c r="D18" s="555"/>
      <c r="E18" s="554"/>
      <c r="F18" s="554"/>
      <c r="G18" s="549"/>
    </row>
    <row r="19" spans="1:7">
      <c r="A19" s="554"/>
      <c r="B19" s="549"/>
      <c r="C19" s="554"/>
      <c r="D19" s="555"/>
      <c r="E19" s="554"/>
      <c r="F19" s="554"/>
      <c r="G19" s="549"/>
    </row>
    <row r="20" spans="1:7">
      <c r="A20" s="554"/>
      <c r="B20" s="549"/>
      <c r="C20" s="554"/>
      <c r="D20" s="555"/>
      <c r="E20" s="554"/>
      <c r="F20" s="554"/>
      <c r="G20" s="549"/>
    </row>
    <row r="21" spans="1:7">
      <c r="A21" s="554"/>
      <c r="B21" s="549"/>
      <c r="C21" s="554"/>
      <c r="D21" s="555"/>
      <c r="E21" s="554"/>
      <c r="F21" s="554"/>
      <c r="G21" s="549"/>
    </row>
    <row r="22" spans="1:7">
      <c r="A22" s="554"/>
      <c r="B22" s="549"/>
      <c r="C22" s="554"/>
      <c r="D22" s="555"/>
      <c r="E22" s="554"/>
      <c r="F22" s="554"/>
      <c r="G22" s="549"/>
    </row>
    <row r="23" spans="1:7">
      <c r="A23" s="554"/>
      <c r="B23" s="549"/>
      <c r="C23" s="554"/>
      <c r="D23" s="555"/>
      <c r="E23" s="554"/>
      <c r="F23" s="554"/>
      <c r="G23" s="549"/>
    </row>
    <row r="24" spans="1:7">
      <c r="A24" s="554"/>
      <c r="B24" s="549"/>
      <c r="C24" s="554"/>
      <c r="D24" s="555"/>
      <c r="E24" s="554"/>
      <c r="F24" s="554"/>
      <c r="G24" s="549"/>
    </row>
    <row r="25" spans="1:7">
      <c r="A25" s="554"/>
      <c r="B25" s="549"/>
      <c r="C25" s="554"/>
      <c r="D25" s="555"/>
      <c r="E25" s="554"/>
      <c r="F25" s="554"/>
      <c r="G25" s="549"/>
    </row>
    <row r="26" spans="1:7">
      <c r="A26" s="554"/>
      <c r="B26" s="549"/>
      <c r="C26" s="554"/>
      <c r="D26" s="555"/>
      <c r="E26" s="554"/>
      <c r="F26" s="554"/>
      <c r="G26" s="549"/>
    </row>
    <row r="27" spans="1:7">
      <c r="A27" s="554"/>
      <c r="B27" s="549"/>
      <c r="C27" s="554"/>
      <c r="D27" s="555"/>
      <c r="E27" s="554"/>
      <c r="F27" s="554"/>
      <c r="G27" s="549"/>
    </row>
    <row r="28" spans="1:7">
      <c r="A28" s="554"/>
      <c r="B28" s="549"/>
      <c r="C28" s="554"/>
      <c r="D28" s="555"/>
      <c r="E28" s="554"/>
      <c r="F28" s="554"/>
      <c r="G28" s="549"/>
    </row>
    <row r="29" spans="1:7">
      <c r="A29" s="554"/>
      <c r="B29" s="549"/>
      <c r="C29" s="554"/>
      <c r="D29" s="555"/>
      <c r="E29" s="554"/>
      <c r="F29" s="554"/>
      <c r="G29" s="549"/>
    </row>
    <row r="30" spans="1:7">
      <c r="A30" s="554"/>
      <c r="B30" s="549"/>
      <c r="C30" s="554"/>
      <c r="D30" s="555"/>
      <c r="E30" s="554"/>
      <c r="F30" s="554"/>
      <c r="G30" s="549"/>
    </row>
    <row r="31" spans="1:7">
      <c r="A31" s="554"/>
      <c r="B31" s="549"/>
      <c r="C31" s="554"/>
      <c r="D31" s="555"/>
      <c r="E31" s="554"/>
      <c r="F31" s="554"/>
      <c r="G31" s="549"/>
    </row>
    <row r="32" spans="1:7">
      <c r="A32" s="554"/>
      <c r="B32" s="549"/>
      <c r="C32" s="554"/>
      <c r="D32" s="555"/>
      <c r="E32" s="554"/>
      <c r="F32" s="554"/>
      <c r="G32" s="549"/>
    </row>
    <row r="33" spans="1:7">
      <c r="A33" s="554"/>
      <c r="B33" s="549"/>
      <c r="C33" s="554"/>
      <c r="D33" s="555"/>
      <c r="E33" s="554"/>
      <c r="F33" s="554"/>
      <c r="G33" s="549"/>
    </row>
    <row r="34" spans="1:7">
      <c r="A34" s="554"/>
      <c r="B34" s="549"/>
      <c r="C34" s="554"/>
      <c r="D34" s="555"/>
      <c r="E34" s="554"/>
      <c r="F34" s="554"/>
      <c r="G34" s="549"/>
    </row>
    <row r="35" spans="1:7">
      <c r="A35" s="554"/>
      <c r="B35" s="549"/>
      <c r="C35" s="554"/>
      <c r="D35" s="555"/>
      <c r="E35" s="554"/>
      <c r="F35" s="554"/>
      <c r="G35" s="549"/>
    </row>
    <row r="36" spans="1:7">
      <c r="A36" s="554"/>
      <c r="B36" s="549"/>
      <c r="C36" s="554"/>
      <c r="D36" s="555"/>
      <c r="E36" s="554"/>
      <c r="F36" s="554"/>
      <c r="G36" s="549"/>
    </row>
    <row r="37" spans="1:7">
      <c r="A37" s="554"/>
      <c r="B37" s="549"/>
      <c r="C37" s="554"/>
      <c r="D37" s="555"/>
      <c r="E37" s="554"/>
      <c r="F37" s="554"/>
      <c r="G37" s="549"/>
    </row>
    <row r="38" spans="1:7">
      <c r="A38" s="554"/>
      <c r="B38" s="549"/>
      <c r="C38" s="554"/>
      <c r="D38" s="555"/>
      <c r="E38" s="554"/>
      <c r="F38" s="554"/>
      <c r="G38" s="549"/>
    </row>
    <row r="39" spans="1:7">
      <c r="A39" s="554"/>
      <c r="B39" s="549"/>
      <c r="C39" s="554"/>
      <c r="D39" s="555"/>
      <c r="E39" s="554"/>
      <c r="F39" s="554"/>
      <c r="G39" s="549"/>
    </row>
    <row r="40" spans="1:7">
      <c r="A40" s="554"/>
      <c r="B40" s="549"/>
      <c r="C40" s="554"/>
      <c r="D40" s="555"/>
      <c r="E40" s="554"/>
      <c r="F40" s="554"/>
      <c r="G40" s="549"/>
    </row>
    <row r="41" spans="1:7">
      <c r="A41" s="554"/>
      <c r="B41" s="549"/>
      <c r="C41" s="554"/>
      <c r="D41" s="555"/>
      <c r="E41" s="554"/>
      <c r="F41" s="554"/>
      <c r="G41" s="549"/>
    </row>
    <row r="42" spans="1:7">
      <c r="A42" s="554"/>
      <c r="B42" s="549"/>
      <c r="C42" s="554"/>
      <c r="D42" s="555"/>
      <c r="E42" s="554"/>
      <c r="F42" s="554"/>
      <c r="G42" s="549"/>
    </row>
    <row r="43" spans="1:7">
      <c r="A43" s="554"/>
      <c r="B43" s="549"/>
      <c r="C43" s="554"/>
      <c r="D43" s="555"/>
      <c r="E43" s="554"/>
      <c r="F43" s="554"/>
      <c r="G43" s="549"/>
    </row>
    <row r="44" spans="1:7">
      <c r="A44" s="554"/>
      <c r="B44" s="549"/>
      <c r="C44" s="554"/>
      <c r="D44" s="555"/>
      <c r="E44" s="554"/>
      <c r="F44" s="554"/>
      <c r="G44" s="549"/>
    </row>
    <row r="45" spans="1:7">
      <c r="A45" s="554"/>
      <c r="B45" s="549"/>
      <c r="C45" s="554"/>
      <c r="D45" s="555"/>
      <c r="E45" s="554"/>
      <c r="F45" s="554"/>
      <c r="G45" s="549"/>
    </row>
    <row r="46" spans="1:7">
      <c r="A46" s="554"/>
      <c r="B46" s="549"/>
      <c r="C46" s="554"/>
      <c r="D46" s="555"/>
      <c r="E46" s="554"/>
      <c r="F46" s="554"/>
      <c r="G46" s="549"/>
    </row>
    <row r="47" spans="1:7">
      <c r="A47" s="554"/>
      <c r="B47" s="549"/>
      <c r="C47" s="554"/>
      <c r="D47" s="555"/>
      <c r="E47" s="554"/>
      <c r="F47" s="554"/>
      <c r="G47" s="549"/>
    </row>
    <row r="48" spans="1:7">
      <c r="A48" s="554"/>
      <c r="B48" s="549"/>
      <c r="C48" s="554"/>
      <c r="D48" s="555"/>
      <c r="E48" s="554"/>
      <c r="F48" s="554"/>
      <c r="G48" s="549"/>
    </row>
    <row r="49" spans="1:13">
      <c r="A49" s="554"/>
      <c r="B49" s="549"/>
      <c r="C49" s="554"/>
      <c r="D49" s="555"/>
      <c r="E49" s="554"/>
      <c r="F49" s="554"/>
      <c r="G49" s="549"/>
    </row>
    <row r="50" spans="1:13">
      <c r="A50" s="554"/>
      <c r="B50" s="549"/>
      <c r="C50" s="554"/>
      <c r="D50" s="555"/>
      <c r="E50" s="554"/>
      <c r="F50" s="554"/>
      <c r="G50" s="549"/>
    </row>
    <row r="51" spans="1:13">
      <c r="A51" s="554"/>
      <c r="B51" s="549"/>
      <c r="C51" s="554"/>
      <c r="D51" s="555"/>
      <c r="E51" s="554"/>
      <c r="F51" s="554"/>
      <c r="G51" s="549"/>
    </row>
    <row r="52" spans="1:13">
      <c r="A52" s="554"/>
      <c r="B52" s="549"/>
      <c r="C52" s="554"/>
      <c r="D52" s="555"/>
      <c r="E52" s="554"/>
      <c r="F52" s="554"/>
      <c r="G52" s="549"/>
    </row>
    <row r="53" spans="1:13">
      <c r="A53" s="549"/>
      <c r="B53" s="550"/>
      <c r="C53" s="550"/>
      <c r="D53" s="551"/>
      <c r="E53" s="550"/>
      <c r="F53" s="550"/>
      <c r="G53" s="549"/>
      <c r="I53" s="549"/>
      <c r="J53" s="549"/>
    </row>
    <row r="54" spans="1:13">
      <c r="A54" s="549"/>
      <c r="B54" s="549"/>
      <c r="C54" s="549"/>
      <c r="D54" s="551"/>
      <c r="E54" s="550"/>
      <c r="F54" s="550"/>
      <c r="G54" s="549"/>
      <c r="I54" s="549"/>
      <c r="J54" s="549"/>
    </row>
    <row r="55" spans="1:13">
      <c r="A55" s="549"/>
      <c r="B55" s="556"/>
      <c r="C55" s="556"/>
      <c r="D55" s="557"/>
      <c r="E55" s="558"/>
      <c r="F55" s="558"/>
      <c r="G55" s="549"/>
      <c r="I55" s="549"/>
      <c r="J55" s="549"/>
    </row>
    <row r="56" spans="1:13">
      <c r="A56" s="549"/>
      <c r="B56" s="556"/>
      <c r="C56" s="556"/>
      <c r="D56" s="558"/>
      <c r="E56" s="558"/>
      <c r="F56" s="558"/>
      <c r="G56" s="548"/>
      <c r="H56" s="559"/>
      <c r="I56" s="560"/>
      <c r="J56" s="548"/>
      <c r="K56" s="561"/>
      <c r="L56" s="561"/>
      <c r="M56" s="561"/>
    </row>
    <row r="57" spans="1:13">
      <c r="B57" s="560"/>
      <c r="C57" s="560"/>
      <c r="D57" s="562"/>
      <c r="E57" s="563"/>
      <c r="F57" s="564"/>
      <c r="H57" s="559"/>
      <c r="I57" s="556"/>
      <c r="J57" s="549"/>
    </row>
    <row r="58" spans="1:13">
      <c r="B58" s="556"/>
      <c r="C58" s="560"/>
      <c r="D58" s="562"/>
      <c r="E58" s="563"/>
      <c r="F58" s="564"/>
      <c r="H58" s="559"/>
      <c r="I58" s="556"/>
      <c r="J58" s="549"/>
    </row>
    <row r="59" spans="1:13">
      <c r="B59" s="556"/>
      <c r="C59" s="560"/>
      <c r="D59" s="562"/>
      <c r="E59" s="563"/>
      <c r="F59" s="564"/>
      <c r="H59" s="559"/>
      <c r="I59" s="556"/>
      <c r="J59" s="549"/>
    </row>
    <row r="60" spans="1:13">
      <c r="B60" s="565" t="str">
        <f ca="1">MID(CELL("filename"),SEARCH("]",CELL("filename"))+1,SEARCH(".",CELL("filename"))-SEARCH("[",CELL("filename"))-1)</f>
        <v>A</v>
      </c>
      <c r="C60" s="560"/>
      <c r="D60" s="562"/>
      <c r="E60" s="563"/>
      <c r="F60" s="564"/>
      <c r="H60" s="559"/>
      <c r="I60" s="566"/>
      <c r="J60" s="549"/>
    </row>
    <row r="61" spans="1:13">
      <c r="B61" s="565" t="str">
        <f ca="1">MID(CELL("filename"),SEARCH("[",CELL("filename"))+1,SEARCH(".XLS",CELL("filename"))-SEARCH("[",CELL("filename"))-1)</f>
        <v>Tuscarora RP16-299-000 Adjusted Case</v>
      </c>
      <c r="C61" s="560"/>
      <c r="D61" s="562"/>
      <c r="E61" s="563"/>
      <c r="F61" s="567">
        <f ca="1">NOW()</f>
        <v>42466.659702546298</v>
      </c>
      <c r="H61" s="559"/>
      <c r="I61" s="556"/>
      <c r="J61" s="549"/>
    </row>
    <row r="62" spans="1:13">
      <c r="B62" s="568"/>
      <c r="C62" s="568"/>
      <c r="D62" s="557"/>
      <c r="E62" s="569"/>
      <c r="F62" s="569"/>
      <c r="I62" s="549"/>
      <c r="J62" s="549"/>
    </row>
    <row r="63" spans="1:13">
      <c r="B63" s="549"/>
      <c r="C63" s="549"/>
      <c r="D63" s="562"/>
      <c r="E63" s="570"/>
      <c r="F63" s="570"/>
    </row>
    <row r="64" spans="1:13">
      <c r="B64" s="549"/>
      <c r="C64" s="549"/>
      <c r="D64" s="551"/>
    </row>
    <row r="65" spans="5:6">
      <c r="F65" s="570"/>
    </row>
    <row r="75" spans="5:6">
      <c r="E75" s="571"/>
      <c r="F75" s="571"/>
    </row>
    <row r="76" spans="5:6">
      <c r="E76" s="571"/>
      <c r="F76" s="571"/>
    </row>
    <row r="77" spans="5:6">
      <c r="E77" s="571"/>
      <c r="F77" s="571"/>
    </row>
    <row r="78" spans="5:6">
      <c r="E78" s="571"/>
      <c r="F78" s="571"/>
    </row>
    <row r="79" spans="5:6">
      <c r="E79" s="571"/>
      <c r="F79" s="571"/>
    </row>
    <row r="80" spans="5:6">
      <c r="E80" s="571"/>
      <c r="F80" s="571"/>
    </row>
    <row r="81" spans="5:6">
      <c r="E81" s="571"/>
      <c r="F81" s="571"/>
    </row>
    <row r="82" spans="5:6">
      <c r="E82" s="571"/>
      <c r="F82" s="571"/>
    </row>
    <row r="83" spans="5:6">
      <c r="E83" s="571"/>
      <c r="F83" s="571"/>
    </row>
    <row r="84" spans="5:6">
      <c r="E84" s="571"/>
      <c r="F84" s="571"/>
    </row>
    <row r="85" spans="5:6">
      <c r="E85" s="571"/>
      <c r="F85" s="571"/>
    </row>
    <row r="86" spans="5:6">
      <c r="E86" s="571"/>
      <c r="F86" s="571"/>
    </row>
    <row r="87" spans="5:6">
      <c r="E87" s="571"/>
      <c r="F87" s="571"/>
    </row>
    <row r="88" spans="5:6">
      <c r="E88" s="571"/>
      <c r="F88" s="571"/>
    </row>
    <row r="89" spans="5:6">
      <c r="E89" s="571"/>
      <c r="F89" s="571"/>
    </row>
    <row r="90" spans="5:6">
      <c r="E90" s="571"/>
      <c r="F90" s="571"/>
    </row>
    <row r="91" spans="5:6">
      <c r="E91" s="571"/>
      <c r="F91" s="571"/>
    </row>
    <row r="92" spans="5:6">
      <c r="E92" s="571"/>
      <c r="F92" s="571"/>
    </row>
    <row r="93" spans="5:6">
      <c r="E93" s="571"/>
      <c r="F93" s="571"/>
    </row>
    <row r="94" spans="5:6">
      <c r="E94" s="571"/>
      <c r="F94" s="571"/>
    </row>
    <row r="95" spans="5:6">
      <c r="E95" s="571"/>
      <c r="F95" s="571"/>
    </row>
    <row r="96" spans="5:6">
      <c r="E96" s="571"/>
      <c r="F96" s="571"/>
    </row>
    <row r="97" spans="5:6">
      <c r="E97" s="571"/>
      <c r="F97" s="571"/>
    </row>
    <row r="98" spans="5:6">
      <c r="E98" s="571"/>
      <c r="F98" s="571"/>
    </row>
    <row r="99" spans="5:6">
      <c r="E99" s="571"/>
      <c r="F99" s="571"/>
    </row>
    <row r="100" spans="5:6">
      <c r="E100" s="571"/>
      <c r="F100" s="571"/>
    </row>
    <row r="101" spans="5:6">
      <c r="E101" s="571"/>
      <c r="F101" s="571"/>
    </row>
    <row r="102" spans="5:6">
      <c r="E102" s="571"/>
      <c r="F102" s="571"/>
    </row>
    <row r="103" spans="5:6">
      <c r="E103" s="571"/>
      <c r="F103" s="571"/>
    </row>
    <row r="104" spans="5:6">
      <c r="E104" s="571"/>
      <c r="F104" s="571"/>
    </row>
    <row r="105" spans="5:6">
      <c r="E105" s="571"/>
      <c r="F105" s="571"/>
    </row>
    <row r="106" spans="5:6">
      <c r="E106" s="571"/>
      <c r="F106" s="571"/>
    </row>
    <row r="107" spans="5:6">
      <c r="E107" s="571"/>
      <c r="F107" s="571"/>
    </row>
    <row r="108" spans="5:6">
      <c r="E108" s="571"/>
      <c r="F108" s="571"/>
    </row>
    <row r="109" spans="5:6">
      <c r="E109" s="571"/>
      <c r="F109" s="571"/>
    </row>
    <row r="110" spans="5:6">
      <c r="E110" s="571"/>
      <c r="F110" s="571"/>
    </row>
    <row r="111" spans="5:6">
      <c r="E111" s="571"/>
      <c r="F111" s="571"/>
    </row>
    <row r="112" spans="5:6">
      <c r="E112" s="571"/>
      <c r="F112" s="571"/>
    </row>
    <row r="113" spans="5:6">
      <c r="E113" s="571"/>
      <c r="F113" s="571"/>
    </row>
    <row r="114" spans="5:6">
      <c r="E114" s="571"/>
      <c r="F114" s="571"/>
    </row>
    <row r="115" spans="5:6">
      <c r="E115" s="571"/>
      <c r="F115" s="571"/>
    </row>
    <row r="116" spans="5:6">
      <c r="E116" s="571"/>
      <c r="F116" s="571"/>
    </row>
    <row r="117" spans="5:6">
      <c r="E117" s="571"/>
      <c r="F117" s="571"/>
    </row>
    <row r="118" spans="5:6">
      <c r="E118" s="571"/>
      <c r="F118" s="571"/>
    </row>
    <row r="119" spans="5:6">
      <c r="E119" s="571"/>
      <c r="F119" s="571"/>
    </row>
    <row r="120" spans="5:6">
      <c r="E120" s="571"/>
      <c r="F120" s="571"/>
    </row>
    <row r="121" spans="5:6">
      <c r="E121" s="571"/>
      <c r="F121" s="571"/>
    </row>
    <row r="122" spans="5:6">
      <c r="E122" s="571"/>
      <c r="F122" s="571"/>
    </row>
    <row r="123" spans="5:6">
      <c r="E123" s="571"/>
      <c r="F123" s="571"/>
    </row>
    <row r="124" spans="5:6">
      <c r="E124" s="571"/>
      <c r="F124" s="571"/>
    </row>
    <row r="125" spans="5:6">
      <c r="E125" s="571"/>
      <c r="F125" s="571"/>
    </row>
    <row r="126" spans="5:6">
      <c r="E126" s="571"/>
      <c r="F126" s="571"/>
    </row>
    <row r="127" spans="5:6">
      <c r="E127" s="571"/>
      <c r="F127" s="571"/>
    </row>
    <row r="128" spans="5:6">
      <c r="E128" s="571"/>
      <c r="F128" s="571"/>
    </row>
    <row r="129" spans="5:6">
      <c r="E129" s="571"/>
      <c r="F129" s="571"/>
    </row>
    <row r="130" spans="5:6">
      <c r="E130" s="571"/>
      <c r="F130" s="571"/>
    </row>
    <row r="131" spans="5:6">
      <c r="E131" s="571"/>
      <c r="F131" s="571"/>
    </row>
    <row r="132" spans="5:6">
      <c r="E132" s="571"/>
      <c r="F132" s="571"/>
    </row>
    <row r="133" spans="5:6">
      <c r="E133" s="571"/>
      <c r="F133" s="571"/>
    </row>
    <row r="134" spans="5:6">
      <c r="E134" s="571"/>
      <c r="F134" s="571"/>
    </row>
    <row r="135" spans="5:6">
      <c r="E135" s="571"/>
      <c r="F135" s="571"/>
    </row>
    <row r="136" spans="5:6">
      <c r="E136" s="571"/>
      <c r="F136" s="571"/>
    </row>
    <row r="137" spans="5:6">
      <c r="E137" s="571"/>
      <c r="F137" s="571"/>
    </row>
    <row r="138" spans="5:6">
      <c r="E138" s="571"/>
      <c r="F138" s="571"/>
    </row>
    <row r="139" spans="5:6">
      <c r="E139" s="571"/>
      <c r="F139" s="571"/>
    </row>
    <row r="140" spans="5:6">
      <c r="E140" s="571"/>
      <c r="F140" s="571"/>
    </row>
    <row r="141" spans="5:6">
      <c r="E141" s="571"/>
      <c r="F141" s="571"/>
    </row>
    <row r="142" spans="5:6">
      <c r="E142" s="571"/>
      <c r="F142" s="571"/>
    </row>
    <row r="143" spans="5:6">
      <c r="E143" s="571"/>
      <c r="F143" s="571"/>
    </row>
    <row r="144" spans="5:6">
      <c r="E144" s="571"/>
      <c r="F144" s="571"/>
    </row>
    <row r="145" spans="5:6">
      <c r="E145" s="571"/>
      <c r="F145" s="571"/>
    </row>
    <row r="146" spans="5:6">
      <c r="E146" s="571"/>
      <c r="F146" s="571"/>
    </row>
    <row r="147" spans="5:6">
      <c r="E147" s="571"/>
      <c r="F147" s="571"/>
    </row>
    <row r="148" spans="5:6">
      <c r="E148" s="571"/>
      <c r="F148" s="571"/>
    </row>
    <row r="149" spans="5:6">
      <c r="E149" s="571"/>
      <c r="F149" s="571"/>
    </row>
    <row r="150" spans="5:6">
      <c r="E150" s="571"/>
      <c r="F150" s="571"/>
    </row>
    <row r="151" spans="5:6">
      <c r="E151" s="571"/>
      <c r="F151" s="571"/>
    </row>
    <row r="152" spans="5:6">
      <c r="E152" s="571"/>
      <c r="F152" s="571"/>
    </row>
    <row r="153" spans="5:6">
      <c r="E153" s="571"/>
      <c r="F153" s="571"/>
    </row>
    <row r="154" spans="5:6">
      <c r="E154" s="571"/>
      <c r="F154" s="571"/>
    </row>
    <row r="155" spans="5:6">
      <c r="E155" s="571"/>
      <c r="F155" s="571"/>
    </row>
    <row r="156" spans="5:6">
      <c r="E156" s="571"/>
      <c r="F156" s="571"/>
    </row>
    <row r="157" spans="5:6">
      <c r="E157" s="571"/>
      <c r="F157" s="571"/>
    </row>
    <row r="158" spans="5:6">
      <c r="E158" s="571"/>
      <c r="F158" s="571"/>
    </row>
    <row r="159" spans="5:6">
      <c r="E159" s="571"/>
      <c r="F159" s="571"/>
    </row>
    <row r="160" spans="5:6">
      <c r="E160" s="571"/>
      <c r="F160" s="571"/>
    </row>
    <row r="161" spans="5:6">
      <c r="E161" s="571"/>
      <c r="F161" s="571"/>
    </row>
    <row r="162" spans="5:6">
      <c r="E162" s="571"/>
      <c r="F162" s="571"/>
    </row>
    <row r="163" spans="5:6">
      <c r="E163" s="571"/>
      <c r="F163" s="571"/>
    </row>
    <row r="164" spans="5:6">
      <c r="E164" s="571"/>
      <c r="F164" s="571"/>
    </row>
    <row r="165" spans="5:6">
      <c r="E165" s="571"/>
      <c r="F165" s="571"/>
    </row>
    <row r="166" spans="5:6">
      <c r="E166" s="571"/>
      <c r="F166" s="571"/>
    </row>
    <row r="167" spans="5:6">
      <c r="E167" s="571"/>
      <c r="F167" s="571"/>
    </row>
    <row r="168" spans="5:6">
      <c r="E168" s="571"/>
      <c r="F168" s="571"/>
    </row>
    <row r="169" spans="5:6">
      <c r="E169" s="571"/>
      <c r="F169" s="571"/>
    </row>
    <row r="170" spans="5:6">
      <c r="E170" s="571"/>
      <c r="F170" s="571"/>
    </row>
    <row r="171" spans="5:6">
      <c r="E171" s="571"/>
      <c r="F171" s="571"/>
    </row>
    <row r="172" spans="5:6">
      <c r="E172" s="571"/>
      <c r="F172" s="571"/>
    </row>
    <row r="173" spans="5:6">
      <c r="E173" s="571"/>
      <c r="F173" s="571"/>
    </row>
    <row r="174" spans="5:6">
      <c r="E174" s="571"/>
      <c r="F174" s="571"/>
    </row>
    <row r="175" spans="5:6">
      <c r="E175" s="571"/>
      <c r="F175" s="571"/>
    </row>
    <row r="176" spans="5:6">
      <c r="E176" s="571"/>
      <c r="F176" s="571"/>
    </row>
    <row r="177" spans="5:6">
      <c r="E177" s="571"/>
      <c r="F177" s="571"/>
    </row>
    <row r="178" spans="5:6">
      <c r="E178" s="571"/>
      <c r="F178" s="571"/>
    </row>
    <row r="179" spans="5:6">
      <c r="E179" s="571"/>
      <c r="F179" s="571"/>
    </row>
    <row r="180" spans="5:6">
      <c r="E180" s="571"/>
      <c r="F180" s="571"/>
    </row>
    <row r="181" spans="5:6">
      <c r="E181" s="571"/>
      <c r="F181" s="571"/>
    </row>
    <row r="182" spans="5:6">
      <c r="E182" s="571"/>
      <c r="F182" s="571"/>
    </row>
    <row r="183" spans="5:6">
      <c r="E183" s="571"/>
      <c r="F183" s="571"/>
    </row>
    <row r="184" spans="5:6">
      <c r="E184" s="571"/>
      <c r="F184" s="571"/>
    </row>
    <row r="185" spans="5:6">
      <c r="E185" s="571"/>
      <c r="F185" s="571"/>
    </row>
    <row r="186" spans="5:6">
      <c r="E186" s="571"/>
      <c r="F186" s="571"/>
    </row>
    <row r="187" spans="5:6">
      <c r="E187" s="571"/>
      <c r="F187" s="571"/>
    </row>
    <row r="188" spans="5:6">
      <c r="E188" s="571"/>
      <c r="F188" s="571"/>
    </row>
    <row r="189" spans="5:6">
      <c r="E189" s="571"/>
      <c r="F189" s="571"/>
    </row>
    <row r="190" spans="5:6">
      <c r="E190" s="571"/>
      <c r="F190" s="571"/>
    </row>
    <row r="191" spans="5:6">
      <c r="E191" s="571"/>
      <c r="F191" s="571"/>
    </row>
    <row r="192" spans="5:6">
      <c r="E192" s="571"/>
      <c r="F192" s="571"/>
    </row>
    <row r="193" spans="5:6">
      <c r="E193" s="571"/>
      <c r="F193" s="571"/>
    </row>
    <row r="194" spans="5:6">
      <c r="E194" s="571"/>
      <c r="F194" s="571"/>
    </row>
    <row r="195" spans="5:6">
      <c r="E195" s="571"/>
      <c r="F195" s="571"/>
    </row>
    <row r="196" spans="5:6">
      <c r="E196" s="571"/>
      <c r="F196" s="571"/>
    </row>
    <row r="197" spans="5:6">
      <c r="E197" s="571"/>
      <c r="F197" s="571"/>
    </row>
    <row r="198" spans="5:6">
      <c r="E198" s="571"/>
      <c r="F198" s="571"/>
    </row>
    <row r="199" spans="5:6">
      <c r="E199" s="571"/>
      <c r="F199" s="571"/>
    </row>
    <row r="200" spans="5:6">
      <c r="E200" s="571"/>
      <c r="F200" s="571"/>
    </row>
    <row r="201" spans="5:6">
      <c r="E201" s="571"/>
      <c r="F201" s="571"/>
    </row>
    <row r="202" spans="5:6">
      <c r="E202" s="571"/>
      <c r="F202" s="571"/>
    </row>
    <row r="203" spans="5:6">
      <c r="E203" s="571"/>
      <c r="F203" s="571"/>
    </row>
    <row r="204" spans="5:6">
      <c r="E204" s="571"/>
      <c r="F204" s="571"/>
    </row>
    <row r="205" spans="5:6">
      <c r="E205" s="571"/>
      <c r="F205" s="571"/>
    </row>
    <row r="206" spans="5:6">
      <c r="E206" s="571"/>
      <c r="F206" s="571"/>
    </row>
    <row r="207" spans="5:6">
      <c r="E207" s="571"/>
      <c r="F207" s="571"/>
    </row>
    <row r="208" spans="5:6">
      <c r="E208" s="571"/>
      <c r="F208" s="571"/>
    </row>
    <row r="209" spans="5:6">
      <c r="E209" s="571"/>
      <c r="F209" s="571"/>
    </row>
    <row r="210" spans="5:6">
      <c r="E210" s="571"/>
      <c r="F210" s="571"/>
    </row>
    <row r="211" spans="5:6">
      <c r="E211" s="571"/>
      <c r="F211" s="571"/>
    </row>
    <row r="212" spans="5:6">
      <c r="E212" s="571"/>
      <c r="F212" s="571"/>
    </row>
    <row r="213" spans="5:6">
      <c r="E213" s="571"/>
      <c r="F213" s="571"/>
    </row>
    <row r="214" spans="5:6">
      <c r="E214" s="571"/>
      <c r="F214" s="571"/>
    </row>
    <row r="215" spans="5:6">
      <c r="E215" s="571"/>
      <c r="F215" s="571"/>
    </row>
    <row r="216" spans="5:6">
      <c r="E216" s="571"/>
      <c r="F216" s="571"/>
    </row>
    <row r="217" spans="5:6">
      <c r="E217" s="571"/>
      <c r="F217" s="571"/>
    </row>
    <row r="218" spans="5:6">
      <c r="E218" s="571"/>
      <c r="F218" s="571"/>
    </row>
    <row r="219" spans="5:6">
      <c r="E219" s="571"/>
      <c r="F219" s="571"/>
    </row>
    <row r="220" spans="5:6">
      <c r="E220" s="571"/>
      <c r="F220" s="571"/>
    </row>
    <row r="221" spans="5:6">
      <c r="E221" s="571"/>
      <c r="F221" s="571"/>
    </row>
    <row r="222" spans="5:6">
      <c r="E222" s="571"/>
      <c r="F222" s="571"/>
    </row>
    <row r="223" spans="5:6">
      <c r="E223" s="571"/>
      <c r="F223" s="571"/>
    </row>
    <row r="224" spans="5:6">
      <c r="E224" s="571"/>
      <c r="F224" s="571"/>
    </row>
    <row r="225" spans="5:6">
      <c r="E225" s="571"/>
      <c r="F225" s="571"/>
    </row>
    <row r="226" spans="5:6">
      <c r="E226" s="571"/>
      <c r="F226" s="571"/>
    </row>
    <row r="227" spans="5:6">
      <c r="E227" s="571"/>
      <c r="F227" s="571"/>
    </row>
    <row r="228" spans="5:6">
      <c r="E228" s="571"/>
      <c r="F228" s="571"/>
    </row>
    <row r="229" spans="5:6">
      <c r="E229" s="571"/>
      <c r="F229" s="571"/>
    </row>
    <row r="230" spans="5:6">
      <c r="E230" s="571"/>
      <c r="F230" s="571"/>
    </row>
    <row r="231" spans="5:6">
      <c r="E231" s="571"/>
      <c r="F231" s="571"/>
    </row>
    <row r="232" spans="5:6">
      <c r="E232" s="571"/>
      <c r="F232" s="571"/>
    </row>
    <row r="233" spans="5:6">
      <c r="E233" s="571"/>
      <c r="F233" s="571"/>
    </row>
    <row r="234" spans="5:6">
      <c r="E234" s="571"/>
      <c r="F234" s="571"/>
    </row>
    <row r="235" spans="5:6">
      <c r="E235" s="571"/>
      <c r="F235" s="571"/>
    </row>
    <row r="236" spans="5:6">
      <c r="E236" s="571"/>
      <c r="F236" s="571"/>
    </row>
    <row r="237" spans="5:6">
      <c r="E237" s="571"/>
      <c r="F237" s="571"/>
    </row>
    <row r="238" spans="5:6">
      <c r="E238" s="571"/>
      <c r="F238" s="571"/>
    </row>
    <row r="239" spans="5:6">
      <c r="E239" s="571"/>
      <c r="F239" s="571"/>
    </row>
    <row r="240" spans="5:6">
      <c r="E240" s="571"/>
      <c r="F240" s="571"/>
    </row>
    <row r="241" spans="5:6">
      <c r="E241" s="571"/>
      <c r="F241" s="571"/>
    </row>
    <row r="242" spans="5:6">
      <c r="E242" s="571"/>
      <c r="F242" s="571"/>
    </row>
    <row r="243" spans="5:6">
      <c r="E243" s="571"/>
      <c r="F243" s="571"/>
    </row>
    <row r="244" spans="5:6">
      <c r="E244" s="571"/>
      <c r="F244" s="571"/>
    </row>
    <row r="245" spans="5:6">
      <c r="E245" s="571"/>
      <c r="F245" s="571"/>
    </row>
    <row r="246" spans="5:6">
      <c r="E246" s="571"/>
      <c r="F246" s="571"/>
    </row>
    <row r="247" spans="5:6">
      <c r="E247" s="571"/>
      <c r="F247" s="571"/>
    </row>
    <row r="248" spans="5:6">
      <c r="E248" s="571"/>
      <c r="F248" s="571"/>
    </row>
    <row r="249" spans="5:6">
      <c r="E249" s="571"/>
      <c r="F249" s="571"/>
    </row>
    <row r="250" spans="5:6">
      <c r="E250" s="571"/>
      <c r="F250" s="571"/>
    </row>
    <row r="251" spans="5:6">
      <c r="E251" s="571"/>
      <c r="F251" s="571"/>
    </row>
    <row r="252" spans="5:6">
      <c r="E252" s="571"/>
      <c r="F252" s="571"/>
    </row>
    <row r="253" spans="5:6">
      <c r="E253" s="571"/>
      <c r="F253" s="571"/>
    </row>
    <row r="254" spans="5:6">
      <c r="E254" s="571"/>
      <c r="F254" s="571"/>
    </row>
    <row r="255" spans="5:6">
      <c r="E255" s="571"/>
      <c r="F255" s="571"/>
    </row>
    <row r="256" spans="5:6">
      <c r="E256" s="571"/>
      <c r="F256" s="571"/>
    </row>
    <row r="257" spans="5:6">
      <c r="E257" s="571"/>
      <c r="F257" s="571"/>
    </row>
    <row r="258" spans="5:6">
      <c r="E258" s="571"/>
      <c r="F258" s="571"/>
    </row>
    <row r="259" spans="5:6">
      <c r="E259" s="571"/>
      <c r="F259" s="571"/>
    </row>
    <row r="260" spans="5:6">
      <c r="E260" s="571"/>
      <c r="F260" s="571"/>
    </row>
    <row r="261" spans="5:6">
      <c r="E261" s="571"/>
      <c r="F261" s="571"/>
    </row>
    <row r="262" spans="5:6">
      <c r="E262" s="571"/>
      <c r="F262" s="571"/>
    </row>
    <row r="263" spans="5:6">
      <c r="E263" s="571"/>
      <c r="F263" s="571"/>
    </row>
    <row r="264" spans="5:6">
      <c r="E264" s="571"/>
      <c r="F264" s="571"/>
    </row>
    <row r="265" spans="5:6">
      <c r="E265" s="571"/>
      <c r="F265" s="571"/>
    </row>
    <row r="266" spans="5:6">
      <c r="E266" s="571"/>
      <c r="F266" s="571"/>
    </row>
    <row r="267" spans="5:6">
      <c r="E267" s="571"/>
      <c r="F267" s="571"/>
    </row>
    <row r="268" spans="5:6">
      <c r="E268" s="571"/>
      <c r="F268" s="571"/>
    </row>
    <row r="269" spans="5:6">
      <c r="E269" s="571"/>
      <c r="F269" s="571"/>
    </row>
    <row r="270" spans="5:6">
      <c r="E270" s="571"/>
      <c r="F270" s="571"/>
    </row>
    <row r="271" spans="5:6">
      <c r="E271" s="571"/>
      <c r="F271" s="571"/>
    </row>
    <row r="272" spans="5:6">
      <c r="E272" s="571"/>
      <c r="F272" s="571"/>
    </row>
    <row r="273" spans="5:6">
      <c r="E273" s="571"/>
      <c r="F273" s="571"/>
    </row>
    <row r="274" spans="5:6">
      <c r="E274" s="571"/>
      <c r="F274" s="571"/>
    </row>
    <row r="275" spans="5:6">
      <c r="E275" s="571"/>
      <c r="F275" s="571"/>
    </row>
    <row r="276" spans="5:6">
      <c r="E276" s="571"/>
      <c r="F276" s="571"/>
    </row>
    <row r="277" spans="5:6">
      <c r="E277" s="571"/>
      <c r="F277" s="571"/>
    </row>
    <row r="278" spans="5:6">
      <c r="E278" s="571"/>
      <c r="F278" s="571"/>
    </row>
    <row r="279" spans="5:6">
      <c r="E279" s="571"/>
      <c r="F279" s="571"/>
    </row>
    <row r="280" spans="5:6">
      <c r="E280" s="571"/>
      <c r="F280" s="571"/>
    </row>
    <row r="281" spans="5:6">
      <c r="E281" s="571"/>
      <c r="F281" s="571"/>
    </row>
    <row r="282" spans="5:6">
      <c r="E282" s="571"/>
      <c r="F282" s="571"/>
    </row>
    <row r="283" spans="5:6">
      <c r="E283" s="571"/>
      <c r="F283" s="571"/>
    </row>
    <row r="284" spans="5:6">
      <c r="E284" s="571"/>
      <c r="F284" s="571"/>
    </row>
    <row r="285" spans="5:6">
      <c r="E285" s="571"/>
      <c r="F285" s="571"/>
    </row>
    <row r="286" spans="5:6">
      <c r="E286" s="571"/>
      <c r="F286" s="571"/>
    </row>
    <row r="287" spans="5:6">
      <c r="E287" s="571"/>
      <c r="F287" s="571"/>
    </row>
    <row r="288" spans="5:6">
      <c r="E288" s="571"/>
      <c r="F288" s="571"/>
    </row>
    <row r="289" spans="5:6">
      <c r="E289" s="571"/>
      <c r="F289" s="571"/>
    </row>
    <row r="290" spans="5:6">
      <c r="E290" s="571"/>
      <c r="F290" s="571"/>
    </row>
    <row r="291" spans="5:6">
      <c r="E291" s="571"/>
      <c r="F291" s="571"/>
    </row>
    <row r="292" spans="5:6">
      <c r="E292" s="571"/>
      <c r="F292" s="571"/>
    </row>
    <row r="293" spans="5:6">
      <c r="E293" s="571"/>
      <c r="F293" s="571"/>
    </row>
    <row r="294" spans="5:6">
      <c r="E294" s="571"/>
      <c r="F294" s="571"/>
    </row>
    <row r="295" spans="5:6">
      <c r="E295" s="571"/>
      <c r="F295" s="571"/>
    </row>
    <row r="296" spans="5:6">
      <c r="E296" s="571"/>
      <c r="F296" s="571"/>
    </row>
    <row r="297" spans="5:6">
      <c r="E297" s="571"/>
      <c r="F297" s="571"/>
    </row>
    <row r="298" spans="5:6">
      <c r="E298" s="571"/>
      <c r="F298" s="571"/>
    </row>
    <row r="299" spans="5:6">
      <c r="E299" s="571"/>
      <c r="F299" s="571"/>
    </row>
    <row r="300" spans="5:6">
      <c r="E300" s="571"/>
      <c r="F300" s="571"/>
    </row>
    <row r="301" spans="5:6">
      <c r="E301" s="571"/>
      <c r="F301" s="571"/>
    </row>
    <row r="302" spans="5:6">
      <c r="E302" s="571"/>
      <c r="F302" s="571"/>
    </row>
    <row r="303" spans="5:6">
      <c r="E303" s="571"/>
      <c r="F303" s="571"/>
    </row>
    <row r="304" spans="5:6">
      <c r="E304" s="571"/>
      <c r="F304" s="571"/>
    </row>
    <row r="305" spans="5:6">
      <c r="E305" s="571"/>
      <c r="F305" s="571"/>
    </row>
    <row r="306" spans="5:6">
      <c r="E306" s="571"/>
      <c r="F306" s="571"/>
    </row>
    <row r="307" spans="5:6">
      <c r="E307" s="571"/>
      <c r="F307" s="571"/>
    </row>
    <row r="308" spans="5:6">
      <c r="E308" s="571"/>
      <c r="F308" s="571"/>
    </row>
    <row r="309" spans="5:6">
      <c r="E309" s="571"/>
      <c r="F309" s="571"/>
    </row>
    <row r="310" spans="5:6">
      <c r="E310" s="571"/>
      <c r="F310" s="571"/>
    </row>
    <row r="311" spans="5:6">
      <c r="E311" s="571"/>
      <c r="F311" s="571"/>
    </row>
    <row r="312" spans="5:6">
      <c r="E312" s="571"/>
      <c r="F312" s="571"/>
    </row>
    <row r="313" spans="5:6">
      <c r="E313" s="571"/>
      <c r="F313" s="571"/>
    </row>
    <row r="314" spans="5:6">
      <c r="E314" s="571"/>
      <c r="F314" s="571"/>
    </row>
    <row r="315" spans="5:6">
      <c r="E315" s="571"/>
      <c r="F315" s="571"/>
    </row>
    <row r="316" spans="5:6">
      <c r="E316" s="571"/>
      <c r="F316" s="571"/>
    </row>
    <row r="317" spans="5:6">
      <c r="E317" s="571"/>
      <c r="F317" s="571"/>
    </row>
    <row r="318" spans="5:6">
      <c r="E318" s="571"/>
      <c r="F318" s="571"/>
    </row>
    <row r="319" spans="5:6">
      <c r="E319" s="571"/>
      <c r="F319" s="571"/>
    </row>
    <row r="320" spans="5:6">
      <c r="E320" s="571"/>
      <c r="F320" s="571"/>
    </row>
    <row r="321" spans="5:6">
      <c r="E321" s="571"/>
      <c r="F321" s="571"/>
    </row>
    <row r="322" spans="5:6">
      <c r="E322" s="571"/>
      <c r="F322" s="571"/>
    </row>
    <row r="323" spans="5:6">
      <c r="E323" s="571"/>
      <c r="F323" s="571"/>
    </row>
    <row r="324" spans="5:6">
      <c r="E324" s="571"/>
      <c r="F324" s="571"/>
    </row>
    <row r="325" spans="5:6">
      <c r="E325" s="571"/>
      <c r="F325" s="571"/>
    </row>
    <row r="326" spans="5:6">
      <c r="E326" s="571"/>
      <c r="F326" s="571"/>
    </row>
    <row r="327" spans="5:6">
      <c r="E327" s="571"/>
      <c r="F327" s="571"/>
    </row>
    <row r="328" spans="5:6">
      <c r="E328" s="571"/>
      <c r="F328" s="571"/>
    </row>
    <row r="329" spans="5:6">
      <c r="E329" s="571"/>
      <c r="F329" s="571"/>
    </row>
    <row r="330" spans="5:6">
      <c r="E330" s="571"/>
      <c r="F330" s="571"/>
    </row>
    <row r="331" spans="5:6">
      <c r="E331" s="571"/>
      <c r="F331" s="571"/>
    </row>
    <row r="332" spans="5:6">
      <c r="E332" s="571"/>
      <c r="F332" s="571"/>
    </row>
    <row r="333" spans="5:6">
      <c r="E333" s="571"/>
      <c r="F333" s="571"/>
    </row>
    <row r="334" spans="5:6">
      <c r="E334" s="571"/>
      <c r="F334" s="571"/>
    </row>
    <row r="335" spans="5:6">
      <c r="E335" s="571"/>
      <c r="F335" s="571"/>
    </row>
    <row r="336" spans="5:6">
      <c r="E336" s="571"/>
      <c r="F336" s="571"/>
    </row>
    <row r="337" spans="5:6">
      <c r="E337" s="571"/>
      <c r="F337" s="571"/>
    </row>
    <row r="338" spans="5:6">
      <c r="E338" s="571"/>
      <c r="F338" s="571"/>
    </row>
    <row r="339" spans="5:6">
      <c r="E339" s="571"/>
      <c r="F339" s="571"/>
    </row>
    <row r="340" spans="5:6">
      <c r="E340" s="571"/>
      <c r="F340" s="571"/>
    </row>
    <row r="341" spans="5:6">
      <c r="E341" s="571"/>
      <c r="F341" s="571"/>
    </row>
    <row r="342" spans="5:6">
      <c r="E342" s="571"/>
      <c r="F342" s="571"/>
    </row>
    <row r="343" spans="5:6">
      <c r="E343" s="571"/>
      <c r="F343" s="571"/>
    </row>
    <row r="344" spans="5:6">
      <c r="E344" s="571"/>
      <c r="F344" s="571"/>
    </row>
    <row r="345" spans="5:6">
      <c r="E345" s="571"/>
      <c r="F345" s="571"/>
    </row>
    <row r="346" spans="5:6">
      <c r="E346" s="571"/>
      <c r="F346" s="571"/>
    </row>
    <row r="347" spans="5:6">
      <c r="E347" s="571"/>
      <c r="F347" s="571"/>
    </row>
    <row r="348" spans="5:6">
      <c r="E348" s="571"/>
      <c r="F348" s="571"/>
    </row>
    <row r="349" spans="5:6">
      <c r="E349" s="571"/>
      <c r="F349" s="571"/>
    </row>
    <row r="350" spans="5:6">
      <c r="E350" s="571"/>
      <c r="F350" s="571"/>
    </row>
    <row r="351" spans="5:6">
      <c r="E351" s="571"/>
      <c r="F351" s="571"/>
    </row>
    <row r="352" spans="5:6">
      <c r="E352" s="571"/>
      <c r="F352" s="571"/>
    </row>
    <row r="353" spans="5:6">
      <c r="E353" s="571"/>
      <c r="F353" s="571"/>
    </row>
    <row r="354" spans="5:6">
      <c r="E354" s="571"/>
      <c r="F354" s="571"/>
    </row>
    <row r="355" spans="5:6">
      <c r="E355" s="571"/>
      <c r="F355" s="571"/>
    </row>
    <row r="356" spans="5:6">
      <c r="E356" s="571"/>
      <c r="F356" s="571"/>
    </row>
    <row r="357" spans="5:6">
      <c r="E357" s="571"/>
      <c r="F357" s="571"/>
    </row>
    <row r="358" spans="5:6">
      <c r="E358" s="571"/>
      <c r="F358" s="571"/>
    </row>
    <row r="359" spans="5:6">
      <c r="E359" s="571"/>
      <c r="F359" s="571"/>
    </row>
    <row r="360" spans="5:6">
      <c r="E360" s="571"/>
      <c r="F360" s="571"/>
    </row>
    <row r="361" spans="5:6">
      <c r="E361" s="571"/>
      <c r="F361" s="571"/>
    </row>
  </sheetData>
  <mergeCells count="5">
    <mergeCell ref="A4:F4"/>
    <mergeCell ref="A5:F5"/>
    <mergeCell ref="A6:F6"/>
    <mergeCell ref="A7:F7"/>
    <mergeCell ref="A8:F8"/>
  </mergeCells>
  <printOptions horizontalCentered="1"/>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indexed="17"/>
    <pageSetUpPr fitToPage="1"/>
  </sheetPr>
  <dimension ref="A1:R396"/>
  <sheetViews>
    <sheetView zoomScale="80" zoomScaleNormal="80" workbookViewId="0">
      <selection activeCell="A4" sqref="A4:R4"/>
    </sheetView>
  </sheetViews>
  <sheetFormatPr defaultRowHeight="12.75"/>
  <cols>
    <col min="1" max="1" width="4.42578125" bestFit="1" customWidth="1"/>
    <col min="2" max="2" width="38.140625" bestFit="1" customWidth="1"/>
    <col min="3" max="3" width="11.85546875" style="14" bestFit="1" customWidth="1"/>
    <col min="4" max="4" width="12.85546875" bestFit="1" customWidth="1"/>
    <col min="5" max="5" width="11.28515625" customWidth="1"/>
    <col min="6" max="8" width="11.28515625" bestFit="1" customWidth="1"/>
    <col min="9" max="10" width="11.85546875" bestFit="1" customWidth="1"/>
    <col min="11" max="11" width="11.28515625" bestFit="1" customWidth="1"/>
    <col min="12" max="12" width="12.85546875" bestFit="1" customWidth="1"/>
    <col min="13" max="13" width="12.5703125" bestFit="1" customWidth="1"/>
    <col min="14" max="14" width="11.85546875" bestFit="1" customWidth="1"/>
    <col min="15" max="15" width="14.7109375" bestFit="1" customWidth="1"/>
    <col min="16" max="16" width="14" bestFit="1" customWidth="1"/>
    <col min="17" max="17" width="13.140625" customWidth="1"/>
    <col min="18" max="18" width="11.28515625" bestFit="1" customWidth="1"/>
  </cols>
  <sheetData>
    <row r="1" spans="1:18">
      <c r="Q1" t="str">
        <f>A!D1</f>
        <v>Docket No. RP16-299-000</v>
      </c>
    </row>
    <row r="2" spans="1:18">
      <c r="Q2" t="s">
        <v>593</v>
      </c>
    </row>
    <row r="3" spans="1:18">
      <c r="Q3" t="s">
        <v>67</v>
      </c>
    </row>
    <row r="4" spans="1:18">
      <c r="A4" s="929" t="str">
        <f>'H-1 Table'!A4:O4</f>
        <v>Tuscarora Gas Transmission Company</v>
      </c>
      <c r="B4" s="927"/>
      <c r="C4" s="927"/>
      <c r="D4" s="927"/>
      <c r="E4" s="927"/>
      <c r="F4" s="927"/>
      <c r="G4" s="927"/>
      <c r="H4" s="927"/>
      <c r="I4" s="927"/>
      <c r="J4" s="927"/>
      <c r="K4" s="927"/>
      <c r="L4" s="927"/>
      <c r="M4" s="927"/>
      <c r="N4" s="927"/>
      <c r="O4" s="927"/>
      <c r="P4" s="927"/>
      <c r="Q4" s="927"/>
      <c r="R4" s="927"/>
    </row>
    <row r="5" spans="1:18">
      <c r="A5" s="927" t="s">
        <v>166</v>
      </c>
      <c r="B5" s="927"/>
      <c r="C5" s="927"/>
      <c r="D5" s="927"/>
      <c r="E5" s="927"/>
      <c r="F5" s="927"/>
      <c r="G5" s="927"/>
      <c r="H5" s="927"/>
      <c r="I5" s="927"/>
      <c r="J5" s="927"/>
      <c r="K5" s="927"/>
      <c r="L5" s="927"/>
      <c r="M5" s="927"/>
      <c r="N5" s="927"/>
      <c r="O5" s="927"/>
      <c r="P5" s="927"/>
      <c r="Q5" s="927"/>
      <c r="R5" s="927"/>
    </row>
    <row r="6" spans="1:18">
      <c r="A6" s="928" t="s">
        <v>446</v>
      </c>
      <c r="B6" s="928"/>
      <c r="C6" s="928"/>
      <c r="D6" s="928"/>
      <c r="E6" s="928"/>
      <c r="F6" s="928"/>
      <c r="G6" s="928"/>
      <c r="H6" s="928"/>
      <c r="I6" s="928"/>
      <c r="J6" s="928"/>
      <c r="K6" s="928"/>
      <c r="L6" s="928"/>
      <c r="M6" s="928"/>
      <c r="N6" s="928"/>
      <c r="O6" s="928"/>
      <c r="P6" s="928"/>
      <c r="Q6" s="928"/>
      <c r="R6" s="928"/>
    </row>
    <row r="7" spans="1:18">
      <c r="A7" s="929" t="str">
        <f>'Title Input and Macros'!B9</f>
        <v>For the Twelve Months Ended December 31, 2015, As Adjusted</v>
      </c>
      <c r="B7" s="929"/>
      <c r="C7" s="929"/>
      <c r="D7" s="929"/>
      <c r="E7" s="929"/>
      <c r="F7" s="929"/>
      <c r="G7" s="929"/>
      <c r="H7" s="929"/>
      <c r="I7" s="929"/>
      <c r="J7" s="929"/>
      <c r="K7" s="929"/>
      <c r="L7" s="929"/>
      <c r="M7" s="929"/>
      <c r="N7" s="929"/>
      <c r="O7" s="929"/>
      <c r="P7" s="929"/>
      <c r="Q7" s="929"/>
      <c r="R7" s="929"/>
    </row>
    <row r="8" spans="1:18">
      <c r="A8" s="43"/>
      <c r="B8" s="43"/>
      <c r="C8" s="43"/>
      <c r="D8" s="43"/>
      <c r="E8" s="43"/>
      <c r="F8" s="43"/>
      <c r="G8" s="43"/>
      <c r="H8" s="43"/>
      <c r="I8" s="43"/>
      <c r="J8" s="43"/>
      <c r="K8" s="43"/>
      <c r="L8" s="43"/>
      <c r="M8" s="43"/>
      <c r="N8" s="43"/>
      <c r="O8" s="43"/>
      <c r="P8" s="43"/>
      <c r="Q8" s="43"/>
      <c r="R8" s="43"/>
    </row>
    <row r="9" spans="1:18" s="2" customFormat="1">
      <c r="C9" s="14"/>
    </row>
    <row r="10" spans="1:18">
      <c r="A10" s="2" t="s">
        <v>352</v>
      </c>
      <c r="B10" s="2"/>
      <c r="C10" s="14" t="s">
        <v>394</v>
      </c>
      <c r="D10" s="2"/>
      <c r="E10" s="2"/>
      <c r="F10" s="2"/>
      <c r="G10" s="2"/>
      <c r="H10" s="2"/>
      <c r="I10" s="2"/>
      <c r="J10" s="2"/>
      <c r="K10" s="2"/>
      <c r="L10" s="2"/>
      <c r="M10" s="2"/>
      <c r="N10" s="2"/>
      <c r="O10" s="2"/>
      <c r="P10" s="2"/>
      <c r="Q10" s="2"/>
      <c r="R10" s="2" t="s">
        <v>326</v>
      </c>
    </row>
    <row r="11" spans="1:18">
      <c r="A11" s="3" t="s">
        <v>353</v>
      </c>
      <c r="B11" s="3" t="s">
        <v>354</v>
      </c>
      <c r="C11" s="33" t="s">
        <v>353</v>
      </c>
      <c r="D11" s="3" t="str">
        <f>'Title Input and Macros'!$B16</f>
        <v>January</v>
      </c>
      <c r="E11" s="3" t="str">
        <f>'Title Input and Macros'!$B17</f>
        <v>February</v>
      </c>
      <c r="F11" s="3" t="str">
        <f>'Title Input and Macros'!$B18</f>
        <v>March</v>
      </c>
      <c r="G11" s="3" t="str">
        <f>'Title Input and Macros'!$B19</f>
        <v>April</v>
      </c>
      <c r="H11" s="3" t="str">
        <f>'Title Input and Macros'!$B20</f>
        <v>May</v>
      </c>
      <c r="I11" s="3" t="str">
        <f>'Title Input and Macros'!$B21</f>
        <v>June</v>
      </c>
      <c r="J11" s="3" t="str">
        <f>'Title Input and Macros'!$B22</f>
        <v>July</v>
      </c>
      <c r="K11" s="3" t="str">
        <f>'Title Input and Macros'!$B23</f>
        <v>August</v>
      </c>
      <c r="L11" s="3" t="str">
        <f>'Title Input and Macros'!$B24</f>
        <v>September</v>
      </c>
      <c r="M11" s="3" t="str">
        <f>'Title Input and Macros'!$B25</f>
        <v>October</v>
      </c>
      <c r="N11" s="3" t="str">
        <f>'Title Input and Macros'!$B26</f>
        <v>November</v>
      </c>
      <c r="O11" s="3" t="str">
        <f>'Title Input and Macros'!$B27</f>
        <v>December</v>
      </c>
      <c r="P11" s="3" t="s">
        <v>38</v>
      </c>
      <c r="Q11" s="3" t="s">
        <v>401</v>
      </c>
      <c r="R11" s="3" t="s">
        <v>402</v>
      </c>
    </row>
    <row r="12" spans="1:18">
      <c r="B12" s="2" t="s">
        <v>361</v>
      </c>
      <c r="C12" s="14" t="s">
        <v>362</v>
      </c>
      <c r="D12" s="2" t="s">
        <v>366</v>
      </c>
      <c r="E12" s="2" t="s">
        <v>363</v>
      </c>
      <c r="F12" s="2" t="s">
        <v>364</v>
      </c>
      <c r="G12" s="2" t="s">
        <v>379</v>
      </c>
      <c r="H12" s="2" t="s">
        <v>380</v>
      </c>
      <c r="I12" s="2" t="s">
        <v>403</v>
      </c>
      <c r="J12" s="2" t="s">
        <v>404</v>
      </c>
      <c r="K12" s="2" t="s">
        <v>351</v>
      </c>
      <c r="L12" s="2" t="s">
        <v>250</v>
      </c>
      <c r="M12" s="2" t="s">
        <v>254</v>
      </c>
      <c r="N12" s="2" t="s">
        <v>313</v>
      </c>
      <c r="O12" s="2" t="s">
        <v>314</v>
      </c>
      <c r="P12" s="2" t="s">
        <v>315</v>
      </c>
      <c r="Q12" s="2" t="s">
        <v>316</v>
      </c>
      <c r="R12" s="2" t="s">
        <v>317</v>
      </c>
    </row>
    <row r="13" spans="1:18">
      <c r="A13">
        <v>1</v>
      </c>
      <c r="B13" s="42" t="s">
        <v>725</v>
      </c>
      <c r="C13" s="2"/>
      <c r="D13" s="2"/>
      <c r="E13" s="2"/>
      <c r="F13" s="2"/>
      <c r="G13" s="2"/>
      <c r="H13" s="2"/>
      <c r="I13" s="2"/>
      <c r="J13" s="2"/>
      <c r="K13" s="2"/>
      <c r="L13" s="2"/>
      <c r="M13" s="2"/>
      <c r="N13" s="2"/>
      <c r="O13" s="2"/>
      <c r="P13" s="2"/>
      <c r="Q13" s="2"/>
      <c r="R13" s="2"/>
    </row>
    <row r="14" spans="1:18">
      <c r="A14">
        <v>2</v>
      </c>
      <c r="B14" s="42" t="s">
        <v>171</v>
      </c>
      <c r="C14" s="2"/>
      <c r="D14" s="2"/>
      <c r="E14" s="2"/>
      <c r="F14" s="2"/>
      <c r="G14" s="2"/>
      <c r="H14" s="2"/>
      <c r="I14" s="2"/>
      <c r="J14" s="2"/>
      <c r="K14" s="2"/>
      <c r="L14" s="2"/>
      <c r="M14" s="2"/>
      <c r="N14" s="2"/>
      <c r="O14" s="2"/>
      <c r="P14" s="2"/>
      <c r="Q14" s="2"/>
      <c r="R14" s="2"/>
    </row>
    <row r="15" spans="1:18">
      <c r="A15">
        <v>3</v>
      </c>
      <c r="B15" s="507" t="s">
        <v>726</v>
      </c>
      <c r="C15" s="508">
        <v>805</v>
      </c>
      <c r="D15" s="509">
        <v>0</v>
      </c>
      <c r="E15" s="509">
        <v>0</v>
      </c>
      <c r="F15" s="509">
        <v>0</v>
      </c>
      <c r="G15" s="509">
        <v>0</v>
      </c>
      <c r="H15" s="509">
        <v>0</v>
      </c>
      <c r="I15" s="509">
        <v>0</v>
      </c>
      <c r="J15" s="509">
        <v>0</v>
      </c>
      <c r="K15" s="509">
        <v>0</v>
      </c>
      <c r="L15" s="509">
        <v>0</v>
      </c>
      <c r="M15" s="509">
        <v>0</v>
      </c>
      <c r="N15" s="509">
        <v>0</v>
      </c>
      <c r="O15" s="509">
        <v>0</v>
      </c>
      <c r="P15" s="510">
        <f>SUM(D15:O15)</f>
        <v>0</v>
      </c>
      <c r="Q15" s="511">
        <v>0</v>
      </c>
      <c r="R15" s="510">
        <f>+P15+Q15</f>
        <v>0</v>
      </c>
    </row>
    <row r="16" spans="1:18">
      <c r="A16">
        <v>4</v>
      </c>
      <c r="B16" s="507" t="s">
        <v>727</v>
      </c>
      <c r="C16" s="508">
        <v>806</v>
      </c>
      <c r="D16" s="509">
        <v>0</v>
      </c>
      <c r="E16" s="509">
        <v>0</v>
      </c>
      <c r="F16" s="509">
        <v>0</v>
      </c>
      <c r="G16" s="509">
        <v>0</v>
      </c>
      <c r="H16" s="509">
        <v>0</v>
      </c>
      <c r="I16" s="509">
        <v>0</v>
      </c>
      <c r="J16" s="509">
        <v>0</v>
      </c>
      <c r="K16" s="509">
        <v>0</v>
      </c>
      <c r="L16" s="509">
        <v>0</v>
      </c>
      <c r="M16" s="509">
        <v>0</v>
      </c>
      <c r="N16" s="509">
        <v>0</v>
      </c>
      <c r="O16" s="509">
        <v>0</v>
      </c>
      <c r="P16" s="510">
        <f t="shared" ref="P16:P21" si="0">SUM(D16:O16)</f>
        <v>0</v>
      </c>
      <c r="Q16" s="511">
        <v>0</v>
      </c>
      <c r="R16" s="510">
        <f t="shared" ref="R16:R21" si="1">+P16+Q16</f>
        <v>0</v>
      </c>
    </row>
    <row r="17" spans="1:18">
      <c r="A17">
        <v>5</v>
      </c>
      <c r="B17" s="507" t="s">
        <v>728</v>
      </c>
      <c r="C17" s="508">
        <v>808.1</v>
      </c>
      <c r="D17" s="509">
        <v>0</v>
      </c>
      <c r="E17" s="509">
        <v>0</v>
      </c>
      <c r="F17" s="509">
        <v>0</v>
      </c>
      <c r="G17" s="509">
        <v>0</v>
      </c>
      <c r="H17" s="509">
        <v>0</v>
      </c>
      <c r="I17" s="509">
        <v>0</v>
      </c>
      <c r="J17" s="509">
        <v>0</v>
      </c>
      <c r="K17" s="509">
        <v>0</v>
      </c>
      <c r="L17" s="509">
        <v>0</v>
      </c>
      <c r="M17" s="509">
        <v>0</v>
      </c>
      <c r="N17" s="509">
        <v>0</v>
      </c>
      <c r="O17" s="509">
        <v>0</v>
      </c>
      <c r="P17" s="510">
        <f t="shared" si="0"/>
        <v>0</v>
      </c>
      <c r="Q17" s="511">
        <v>0</v>
      </c>
      <c r="R17" s="510">
        <f t="shared" si="1"/>
        <v>0</v>
      </c>
    </row>
    <row r="18" spans="1:18">
      <c r="A18">
        <v>6</v>
      </c>
      <c r="B18" s="507" t="s">
        <v>729</v>
      </c>
      <c r="C18" s="508">
        <v>808.2</v>
      </c>
      <c r="D18" s="509">
        <v>0</v>
      </c>
      <c r="E18" s="509">
        <v>0</v>
      </c>
      <c r="F18" s="509">
        <v>0</v>
      </c>
      <c r="G18" s="509">
        <v>0</v>
      </c>
      <c r="H18" s="509">
        <v>0</v>
      </c>
      <c r="I18" s="509">
        <v>0</v>
      </c>
      <c r="J18" s="509">
        <v>0</v>
      </c>
      <c r="K18" s="509">
        <v>0</v>
      </c>
      <c r="L18" s="509">
        <v>0</v>
      </c>
      <c r="M18" s="509">
        <v>0</v>
      </c>
      <c r="N18" s="509">
        <v>0</v>
      </c>
      <c r="O18" s="509">
        <v>0</v>
      </c>
      <c r="P18" s="510">
        <f t="shared" si="0"/>
        <v>0</v>
      </c>
      <c r="Q18" s="511">
        <v>0</v>
      </c>
      <c r="R18" s="510">
        <f t="shared" si="1"/>
        <v>0</v>
      </c>
    </row>
    <row r="19" spans="1:18">
      <c r="A19">
        <v>7</v>
      </c>
      <c r="B19" s="507" t="s">
        <v>730</v>
      </c>
      <c r="C19" s="508">
        <v>810</v>
      </c>
      <c r="D19" s="509">
        <v>0</v>
      </c>
      <c r="E19" s="509">
        <v>0</v>
      </c>
      <c r="F19" s="509">
        <v>0</v>
      </c>
      <c r="G19" s="509">
        <v>0</v>
      </c>
      <c r="H19" s="509">
        <v>0</v>
      </c>
      <c r="I19" s="509">
        <v>0</v>
      </c>
      <c r="J19" s="509">
        <v>0</v>
      </c>
      <c r="K19" s="509">
        <v>0</v>
      </c>
      <c r="L19" s="509">
        <v>0</v>
      </c>
      <c r="M19" s="509">
        <v>0</v>
      </c>
      <c r="N19" s="509">
        <v>0</v>
      </c>
      <c r="O19" s="509">
        <v>0</v>
      </c>
      <c r="P19" s="510">
        <f t="shared" si="0"/>
        <v>0</v>
      </c>
      <c r="Q19" s="511">
        <v>0</v>
      </c>
      <c r="R19" s="510">
        <f t="shared" si="1"/>
        <v>0</v>
      </c>
    </row>
    <row r="20" spans="1:18">
      <c r="A20">
        <v>8</v>
      </c>
      <c r="B20" s="507" t="s">
        <v>731</v>
      </c>
      <c r="C20" s="508">
        <v>812</v>
      </c>
      <c r="D20" s="509">
        <v>0</v>
      </c>
      <c r="E20" s="509">
        <v>0</v>
      </c>
      <c r="F20" s="509">
        <v>0</v>
      </c>
      <c r="G20" s="509">
        <v>0</v>
      </c>
      <c r="H20" s="509">
        <v>0</v>
      </c>
      <c r="I20" s="509">
        <v>0</v>
      </c>
      <c r="J20" s="509">
        <v>0</v>
      </c>
      <c r="K20" s="509">
        <v>0</v>
      </c>
      <c r="L20" s="509">
        <v>0</v>
      </c>
      <c r="M20" s="509">
        <v>0</v>
      </c>
      <c r="N20" s="509">
        <v>0</v>
      </c>
      <c r="O20" s="509">
        <v>0</v>
      </c>
      <c r="P20" s="510">
        <f t="shared" si="0"/>
        <v>0</v>
      </c>
      <c r="Q20" s="511">
        <v>0</v>
      </c>
      <c r="R20" s="510">
        <f t="shared" si="1"/>
        <v>0</v>
      </c>
    </row>
    <row r="21" spans="1:18">
      <c r="A21">
        <v>9</v>
      </c>
      <c r="B21" s="507" t="s">
        <v>171</v>
      </c>
      <c r="C21" s="508">
        <v>813</v>
      </c>
      <c r="D21" s="509">
        <v>0</v>
      </c>
      <c r="E21" s="509">
        <v>0</v>
      </c>
      <c r="F21" s="509">
        <v>0</v>
      </c>
      <c r="G21" s="509">
        <v>0</v>
      </c>
      <c r="H21" s="509">
        <v>0</v>
      </c>
      <c r="I21" s="509">
        <v>0</v>
      </c>
      <c r="J21" s="509">
        <v>0</v>
      </c>
      <c r="K21" s="509">
        <v>0</v>
      </c>
      <c r="L21" s="509">
        <v>0</v>
      </c>
      <c r="M21" s="509">
        <v>0</v>
      </c>
      <c r="N21" s="509">
        <v>0</v>
      </c>
      <c r="O21" s="509">
        <v>0</v>
      </c>
      <c r="P21" s="510">
        <f t="shared" si="0"/>
        <v>0</v>
      </c>
      <c r="Q21" s="511">
        <v>0</v>
      </c>
      <c r="R21" s="510">
        <f t="shared" si="1"/>
        <v>0</v>
      </c>
    </row>
    <row r="22" spans="1:18" ht="13.5" thickBot="1">
      <c r="A22">
        <v>10</v>
      </c>
      <c r="B22" t="s">
        <v>173</v>
      </c>
      <c r="C22" s="2"/>
      <c r="D22" s="512">
        <f>SUM(D15:D21)</f>
        <v>0</v>
      </c>
      <c r="E22" s="512">
        <f t="shared" ref="E22:R22" si="2">SUM(E15:E21)</f>
        <v>0</v>
      </c>
      <c r="F22" s="512">
        <f t="shared" si="2"/>
        <v>0</v>
      </c>
      <c r="G22" s="512">
        <f t="shared" si="2"/>
        <v>0</v>
      </c>
      <c r="H22" s="512">
        <f t="shared" si="2"/>
        <v>0</v>
      </c>
      <c r="I22" s="512">
        <f t="shared" si="2"/>
        <v>0</v>
      </c>
      <c r="J22" s="512">
        <f t="shared" si="2"/>
        <v>0</v>
      </c>
      <c r="K22" s="512">
        <f t="shared" si="2"/>
        <v>0</v>
      </c>
      <c r="L22" s="512">
        <f t="shared" si="2"/>
        <v>0</v>
      </c>
      <c r="M22" s="512">
        <f t="shared" si="2"/>
        <v>0</v>
      </c>
      <c r="N22" s="512">
        <f t="shared" si="2"/>
        <v>0</v>
      </c>
      <c r="O22" s="512">
        <f t="shared" si="2"/>
        <v>0</v>
      </c>
      <c r="P22" s="512">
        <f t="shared" si="2"/>
        <v>0</v>
      </c>
      <c r="Q22" s="512">
        <f t="shared" si="2"/>
        <v>0</v>
      </c>
      <c r="R22" s="512">
        <f t="shared" si="2"/>
        <v>0</v>
      </c>
    </row>
    <row r="23" spans="1:18" ht="13.5" thickTop="1">
      <c r="C23" s="2"/>
      <c r="D23" s="2" t="s">
        <v>365</v>
      </c>
      <c r="E23" s="2" t="s">
        <v>365</v>
      </c>
      <c r="F23" s="2" t="s">
        <v>365</v>
      </c>
      <c r="G23" s="2" t="s">
        <v>365</v>
      </c>
      <c r="H23" s="2" t="s">
        <v>365</v>
      </c>
      <c r="I23" s="2" t="s">
        <v>365</v>
      </c>
      <c r="J23" s="2" t="s">
        <v>365</v>
      </c>
      <c r="K23" s="2" t="s">
        <v>365</v>
      </c>
      <c r="L23" s="2" t="s">
        <v>365</v>
      </c>
      <c r="M23" s="2" t="s">
        <v>365</v>
      </c>
      <c r="N23" s="2" t="s">
        <v>365</v>
      </c>
      <c r="O23" s="2" t="s">
        <v>365</v>
      </c>
      <c r="P23" s="2" t="s">
        <v>365</v>
      </c>
      <c r="Q23" s="2" t="s">
        <v>365</v>
      </c>
      <c r="R23" s="2" t="s">
        <v>365</v>
      </c>
    </row>
    <row r="24" spans="1:18">
      <c r="A24">
        <v>11</v>
      </c>
      <c r="B24" s="42" t="s">
        <v>181</v>
      </c>
      <c r="C24" s="2"/>
    </row>
    <row r="25" spans="1:18">
      <c r="A25">
        <v>12</v>
      </c>
      <c r="B25" s="42" t="s">
        <v>135</v>
      </c>
      <c r="C25" s="2"/>
    </row>
    <row r="26" spans="1:18">
      <c r="A26">
        <v>13</v>
      </c>
      <c r="B26" s="507" t="s">
        <v>162</v>
      </c>
      <c r="C26" s="508">
        <v>850</v>
      </c>
      <c r="D26" s="509">
        <v>19243.690000000013</v>
      </c>
      <c r="E26" s="509">
        <v>29841.880000000005</v>
      </c>
      <c r="F26" s="509">
        <v>25408.420000000002</v>
      </c>
      <c r="G26" s="509">
        <v>18085.430000000008</v>
      </c>
      <c r="H26" s="509">
        <v>18432.86</v>
      </c>
      <c r="I26" s="509">
        <v>27251.300000000007</v>
      </c>
      <c r="J26" s="509">
        <v>19464.400000000005</v>
      </c>
      <c r="K26" s="509">
        <v>20463.14</v>
      </c>
      <c r="L26" s="509">
        <v>17165.19999999999</v>
      </c>
      <c r="M26" s="509">
        <v>11447.39</v>
      </c>
      <c r="N26" s="509">
        <v>24396.599999999995</v>
      </c>
      <c r="O26" s="509">
        <v>19434.530000000013</v>
      </c>
      <c r="P26" s="68">
        <f>SUM(D26:O26)</f>
        <v>250634.84000000003</v>
      </c>
      <c r="Q26" s="511">
        <f>'H-1 ADJ'!F63</f>
        <v>7519.0452000000005</v>
      </c>
      <c r="R26" s="68">
        <f>+P26+Q26</f>
        <v>258153.88520000002</v>
      </c>
    </row>
    <row r="27" spans="1:18">
      <c r="A27">
        <v>14</v>
      </c>
      <c r="B27" s="507" t="s">
        <v>163</v>
      </c>
      <c r="C27" s="508">
        <v>851</v>
      </c>
      <c r="D27" s="509">
        <v>0</v>
      </c>
      <c r="E27" s="509">
        <v>0</v>
      </c>
      <c r="F27" s="509">
        <v>0</v>
      </c>
      <c r="G27" s="509">
        <v>0</v>
      </c>
      <c r="H27" s="509">
        <v>0</v>
      </c>
      <c r="I27" s="509">
        <v>0</v>
      </c>
      <c r="J27" s="509">
        <v>0</v>
      </c>
      <c r="K27" s="509">
        <v>0</v>
      </c>
      <c r="L27" s="509">
        <v>0</v>
      </c>
      <c r="M27" s="509">
        <v>0</v>
      </c>
      <c r="N27" s="509">
        <v>0</v>
      </c>
      <c r="O27" s="509">
        <v>0</v>
      </c>
      <c r="P27" s="68">
        <f t="shared" ref="P27:P36" si="3">SUM(D27:O27)</f>
        <v>0</v>
      </c>
      <c r="Q27" s="511">
        <v>0</v>
      </c>
      <c r="R27" s="68">
        <f t="shared" ref="R27:R36" si="4">+P27+Q27</f>
        <v>0</v>
      </c>
    </row>
    <row r="28" spans="1:18">
      <c r="A28">
        <v>15</v>
      </c>
      <c r="B28" s="507" t="s">
        <v>164</v>
      </c>
      <c r="C28" s="508">
        <v>852</v>
      </c>
      <c r="D28" s="509">
        <v>0</v>
      </c>
      <c r="E28" s="509">
        <v>0</v>
      </c>
      <c r="F28" s="509">
        <v>0</v>
      </c>
      <c r="G28" s="509">
        <v>0</v>
      </c>
      <c r="H28" s="509">
        <v>0</v>
      </c>
      <c r="I28" s="509">
        <v>0</v>
      </c>
      <c r="J28" s="509">
        <v>0</v>
      </c>
      <c r="K28" s="509">
        <v>0</v>
      </c>
      <c r="L28" s="509">
        <v>0</v>
      </c>
      <c r="M28" s="509">
        <v>0</v>
      </c>
      <c r="N28" s="509">
        <v>0</v>
      </c>
      <c r="O28" s="509">
        <v>0</v>
      </c>
      <c r="P28" s="68">
        <f t="shared" si="3"/>
        <v>0</v>
      </c>
      <c r="Q28" s="511">
        <v>0</v>
      </c>
      <c r="R28" s="68">
        <f t="shared" si="4"/>
        <v>0</v>
      </c>
    </row>
    <row r="29" spans="1:18">
      <c r="A29">
        <v>16</v>
      </c>
      <c r="B29" s="507" t="s">
        <v>152</v>
      </c>
      <c r="C29" s="508">
        <v>853</v>
      </c>
      <c r="D29" s="509">
        <v>19787.160000000011</v>
      </c>
      <c r="E29" s="509">
        <v>20751.200000000015</v>
      </c>
      <c r="F29" s="509">
        <v>19420.110000000004</v>
      </c>
      <c r="G29" s="509">
        <v>11767.539999999999</v>
      </c>
      <c r="H29" s="509">
        <v>18005.66</v>
      </c>
      <c r="I29" s="509">
        <v>19275.180000000022</v>
      </c>
      <c r="J29" s="509">
        <v>16586.780000000006</v>
      </c>
      <c r="K29" s="509">
        <v>22410.600000000009</v>
      </c>
      <c r="L29" s="509">
        <v>16208.03000000001</v>
      </c>
      <c r="M29" s="509">
        <v>17705.649999999998</v>
      </c>
      <c r="N29" s="509">
        <v>11250.96</v>
      </c>
      <c r="O29" s="509">
        <v>24815.440000000006</v>
      </c>
      <c r="P29" s="68">
        <f t="shared" si="3"/>
        <v>217984.31000000006</v>
      </c>
      <c r="Q29" s="511">
        <f>'H-1 ADJ'!F64</f>
        <v>6539.5293000000011</v>
      </c>
      <c r="R29" s="68">
        <f t="shared" si="4"/>
        <v>224523.83930000005</v>
      </c>
    </row>
    <row r="30" spans="1:18">
      <c r="A30">
        <v>17</v>
      </c>
      <c r="B30" s="507" t="s">
        <v>153</v>
      </c>
      <c r="C30" s="508">
        <v>854</v>
      </c>
      <c r="D30" s="509">
        <v>0</v>
      </c>
      <c r="E30" s="509">
        <v>0</v>
      </c>
      <c r="F30" s="509">
        <v>0</v>
      </c>
      <c r="G30" s="509">
        <v>0</v>
      </c>
      <c r="H30" s="509">
        <v>0</v>
      </c>
      <c r="I30" s="509">
        <v>0</v>
      </c>
      <c r="J30" s="509">
        <v>0</v>
      </c>
      <c r="K30" s="509">
        <v>0</v>
      </c>
      <c r="L30" s="509">
        <v>0</v>
      </c>
      <c r="M30" s="509">
        <v>0</v>
      </c>
      <c r="N30" s="509">
        <v>0</v>
      </c>
      <c r="O30" s="509">
        <v>0</v>
      </c>
      <c r="P30" s="68">
        <f t="shared" si="3"/>
        <v>0</v>
      </c>
      <c r="Q30" s="511">
        <v>0</v>
      </c>
      <c r="R30" s="68">
        <f t="shared" si="4"/>
        <v>0</v>
      </c>
    </row>
    <row r="31" spans="1:18">
      <c r="A31">
        <v>18</v>
      </c>
      <c r="B31" s="507" t="s">
        <v>154</v>
      </c>
      <c r="C31" s="508">
        <v>855</v>
      </c>
      <c r="D31" s="509">
        <v>0</v>
      </c>
      <c r="E31" s="509">
        <v>0</v>
      </c>
      <c r="F31" s="509">
        <v>0</v>
      </c>
      <c r="G31" s="509">
        <v>0</v>
      </c>
      <c r="H31" s="509">
        <v>0</v>
      </c>
      <c r="I31" s="509">
        <v>0</v>
      </c>
      <c r="J31" s="509">
        <v>0</v>
      </c>
      <c r="K31" s="509">
        <v>0</v>
      </c>
      <c r="L31" s="509">
        <v>0</v>
      </c>
      <c r="M31" s="509">
        <v>0</v>
      </c>
      <c r="N31" s="509">
        <v>0</v>
      </c>
      <c r="O31" s="509">
        <v>0</v>
      </c>
      <c r="P31" s="68">
        <f t="shared" si="3"/>
        <v>0</v>
      </c>
      <c r="Q31" s="511">
        <v>0</v>
      </c>
      <c r="R31" s="68">
        <f t="shared" si="4"/>
        <v>0</v>
      </c>
    </row>
    <row r="32" spans="1:18">
      <c r="A32">
        <v>19</v>
      </c>
      <c r="B32" s="507" t="s">
        <v>155</v>
      </c>
      <c r="C32" s="508">
        <v>856</v>
      </c>
      <c r="D32" s="509">
        <v>617.52</v>
      </c>
      <c r="E32" s="509">
        <v>897.05</v>
      </c>
      <c r="F32" s="509">
        <v>1919.57</v>
      </c>
      <c r="G32" s="509">
        <v>2119.98</v>
      </c>
      <c r="H32" s="509">
        <v>2132.35</v>
      </c>
      <c r="I32" s="509">
        <v>882.41999999999985</v>
      </c>
      <c r="J32" s="509">
        <v>6626.5099999999957</v>
      </c>
      <c r="K32" s="509">
        <v>4592.0099999999984</v>
      </c>
      <c r="L32" s="509">
        <v>2258.02</v>
      </c>
      <c r="M32" s="509">
        <v>1304.46</v>
      </c>
      <c r="N32" s="509">
        <v>3969.4899999999993</v>
      </c>
      <c r="O32" s="509">
        <v>1603.4799999999996</v>
      </c>
      <c r="P32" s="68">
        <f t="shared" si="3"/>
        <v>28922.85999999999</v>
      </c>
      <c r="Q32" s="511">
        <f>'H-1 ADJ'!F65</f>
        <v>867.68579999999963</v>
      </c>
      <c r="R32" s="68">
        <f t="shared" si="4"/>
        <v>29790.545799999989</v>
      </c>
    </row>
    <row r="33" spans="1:18">
      <c r="A33">
        <v>20</v>
      </c>
      <c r="B33" s="507" t="s">
        <v>182</v>
      </c>
      <c r="C33" s="508">
        <v>857</v>
      </c>
      <c r="D33" s="509">
        <v>7084.9100000000017</v>
      </c>
      <c r="E33" s="509">
        <v>5244.62</v>
      </c>
      <c r="F33" s="509">
        <v>5902.6699999999992</v>
      </c>
      <c r="G33" s="509">
        <v>4763.93</v>
      </c>
      <c r="H33" s="509">
        <v>7123.119999999999</v>
      </c>
      <c r="I33" s="509">
        <v>3884.1999999999994</v>
      </c>
      <c r="J33" s="509">
        <v>8743.9800000000014</v>
      </c>
      <c r="K33" s="509">
        <v>8974.7900000000009</v>
      </c>
      <c r="L33" s="509">
        <v>10557.840000000006</v>
      </c>
      <c r="M33" s="509">
        <v>5682.5599999999959</v>
      </c>
      <c r="N33" s="509">
        <v>5350.7199999999966</v>
      </c>
      <c r="O33" s="509">
        <v>2707.61</v>
      </c>
      <c r="P33" s="68">
        <f t="shared" si="3"/>
        <v>76020.95</v>
      </c>
      <c r="Q33" s="511">
        <f>'H-1 ADJ'!F66</f>
        <v>2280.6284999999998</v>
      </c>
      <c r="R33" s="68">
        <f t="shared" si="4"/>
        <v>78301.578500000003</v>
      </c>
    </row>
    <row r="34" spans="1:18">
      <c r="A34">
        <v>21</v>
      </c>
      <c r="B34" s="507" t="s">
        <v>157</v>
      </c>
      <c r="C34" s="508">
        <v>858</v>
      </c>
      <c r="D34" s="509">
        <v>0</v>
      </c>
      <c r="E34" s="509">
        <v>0</v>
      </c>
      <c r="F34" s="509">
        <v>0</v>
      </c>
      <c r="G34" s="509">
        <v>0</v>
      </c>
      <c r="H34" s="509">
        <v>0</v>
      </c>
      <c r="I34" s="509">
        <v>0</v>
      </c>
      <c r="J34" s="509">
        <v>0</v>
      </c>
      <c r="K34" s="509">
        <v>0</v>
      </c>
      <c r="L34" s="509">
        <v>0</v>
      </c>
      <c r="M34" s="509">
        <v>0</v>
      </c>
      <c r="N34" s="509">
        <v>0</v>
      </c>
      <c r="O34" s="509">
        <v>0</v>
      </c>
      <c r="P34" s="68">
        <f t="shared" si="3"/>
        <v>0</v>
      </c>
      <c r="Q34" s="511">
        <v>0</v>
      </c>
      <c r="R34" s="68">
        <f t="shared" si="4"/>
        <v>0</v>
      </c>
    </row>
    <row r="35" spans="1:18">
      <c r="A35">
        <v>22</v>
      </c>
      <c r="B35" s="507" t="s">
        <v>158</v>
      </c>
      <c r="C35" s="508">
        <v>859</v>
      </c>
      <c r="D35" s="509"/>
      <c r="E35" s="509"/>
      <c r="F35" s="509"/>
      <c r="G35" s="509"/>
      <c r="H35" s="509">
        <v>1698.08</v>
      </c>
      <c r="I35" s="509">
        <v>-1698.0800000000004</v>
      </c>
      <c r="J35" s="509">
        <v>6616.02</v>
      </c>
      <c r="K35" s="509">
        <v>595.02</v>
      </c>
      <c r="L35" s="509">
        <v>-7211.04</v>
      </c>
      <c r="M35" s="509">
        <v>2346.79</v>
      </c>
      <c r="N35" s="509">
        <v>1.61</v>
      </c>
      <c r="O35" s="509">
        <v>14080.93</v>
      </c>
      <c r="P35" s="68">
        <f t="shared" si="3"/>
        <v>16429.330000000002</v>
      </c>
      <c r="Q35" s="511">
        <f>'H-1 ADJ'!F67</f>
        <v>492.88</v>
      </c>
      <c r="R35" s="68">
        <f t="shared" si="4"/>
        <v>16922.210000000003</v>
      </c>
    </row>
    <row r="36" spans="1:18">
      <c r="A36">
        <v>23</v>
      </c>
      <c r="B36" s="507" t="s">
        <v>150</v>
      </c>
      <c r="C36" s="508">
        <v>860</v>
      </c>
      <c r="D36" s="509">
        <v>0</v>
      </c>
      <c r="E36" s="509">
        <v>0</v>
      </c>
      <c r="F36" s="509">
        <v>0</v>
      </c>
      <c r="G36" s="509">
        <v>0</v>
      </c>
      <c r="H36" s="509">
        <v>0</v>
      </c>
      <c r="I36" s="509">
        <v>0</v>
      </c>
      <c r="J36" s="509">
        <v>0</v>
      </c>
      <c r="K36" s="509">
        <v>0</v>
      </c>
      <c r="L36" s="509">
        <v>0</v>
      </c>
      <c r="M36" s="509">
        <v>0</v>
      </c>
      <c r="N36" s="509">
        <v>0</v>
      </c>
      <c r="O36" s="509">
        <v>0</v>
      </c>
      <c r="P36" s="68">
        <f t="shared" si="3"/>
        <v>0</v>
      </c>
      <c r="Q36" s="511">
        <v>0</v>
      </c>
      <c r="R36" s="68">
        <f t="shared" si="4"/>
        <v>0</v>
      </c>
    </row>
    <row r="37" spans="1:18" ht="13.5" thickBot="1">
      <c r="A37">
        <v>24</v>
      </c>
      <c r="C37" s="2"/>
      <c r="D37" s="69">
        <f t="shared" ref="D37:R37" si="5">SUM(D26:D36)</f>
        <v>46733.280000000021</v>
      </c>
      <c r="E37" s="69">
        <f t="shared" si="5"/>
        <v>56734.750000000022</v>
      </c>
      <c r="F37" s="69">
        <f t="shared" si="5"/>
        <v>52650.770000000004</v>
      </c>
      <c r="G37" s="69">
        <f t="shared" si="5"/>
        <v>36736.880000000005</v>
      </c>
      <c r="H37" s="69">
        <f t="shared" si="5"/>
        <v>47392.070000000007</v>
      </c>
      <c r="I37" s="69">
        <f t="shared" si="5"/>
        <v>49595.020000000019</v>
      </c>
      <c r="J37" s="69">
        <f t="shared" si="5"/>
        <v>58037.69</v>
      </c>
      <c r="K37" s="69">
        <f t="shared" si="5"/>
        <v>57035.56</v>
      </c>
      <c r="L37" s="69">
        <f t="shared" si="5"/>
        <v>38978.049999999996</v>
      </c>
      <c r="M37" s="69">
        <f t="shared" si="5"/>
        <v>38486.849999999991</v>
      </c>
      <c r="N37" s="69">
        <f t="shared" si="5"/>
        <v>44969.37999999999</v>
      </c>
      <c r="O37" s="69">
        <f t="shared" si="5"/>
        <v>62641.990000000013</v>
      </c>
      <c r="P37" s="69">
        <f t="shared" si="5"/>
        <v>589992.29</v>
      </c>
      <c r="Q37" s="150">
        <f t="shared" si="5"/>
        <v>17699.768800000002</v>
      </c>
      <c r="R37" s="69">
        <f t="shared" si="5"/>
        <v>607692.0588</v>
      </c>
    </row>
    <row r="38" spans="1:18" ht="13.5" thickTop="1">
      <c r="A38">
        <v>25</v>
      </c>
      <c r="B38" s="42" t="s">
        <v>136</v>
      </c>
      <c r="C38" s="2"/>
      <c r="D38" s="68"/>
      <c r="E38" s="68"/>
      <c r="F38" s="68"/>
      <c r="G38" s="68"/>
      <c r="H38" s="68"/>
      <c r="I38" s="68"/>
      <c r="J38" s="68"/>
      <c r="K38" s="68"/>
      <c r="L38" s="68"/>
      <c r="M38" s="68"/>
      <c r="N38" s="68"/>
      <c r="O38" s="68"/>
      <c r="P38" s="68"/>
      <c r="Q38" s="106"/>
      <c r="R38" s="68"/>
    </row>
    <row r="39" spans="1:18">
      <c r="A39">
        <v>26</v>
      </c>
      <c r="B39" s="507" t="s">
        <v>183</v>
      </c>
      <c r="C39" s="508">
        <v>861</v>
      </c>
      <c r="D39" s="509">
        <v>0</v>
      </c>
      <c r="E39" s="509">
        <v>0</v>
      </c>
      <c r="F39" s="509">
        <v>0</v>
      </c>
      <c r="G39" s="509">
        <v>0</v>
      </c>
      <c r="H39" s="509">
        <v>0</v>
      </c>
      <c r="I39" s="509">
        <v>0</v>
      </c>
      <c r="J39" s="509">
        <v>0</v>
      </c>
      <c r="K39" s="509">
        <v>0</v>
      </c>
      <c r="L39" s="509">
        <v>0</v>
      </c>
      <c r="M39" s="509">
        <v>0</v>
      </c>
      <c r="N39" s="509">
        <v>0</v>
      </c>
      <c r="O39" s="509">
        <v>0</v>
      </c>
      <c r="P39" s="68">
        <f>SUM(D39:O39)</f>
        <v>0</v>
      </c>
      <c r="Q39" s="511">
        <v>0</v>
      </c>
      <c r="R39" s="68">
        <f t="shared" ref="R39:R45" si="6">+P39+Q39</f>
        <v>0</v>
      </c>
    </row>
    <row r="40" spans="1:18">
      <c r="A40">
        <v>27</v>
      </c>
      <c r="B40" s="507" t="s">
        <v>184</v>
      </c>
      <c r="C40" s="508">
        <v>862</v>
      </c>
      <c r="D40" s="509">
        <v>0</v>
      </c>
      <c r="E40" s="509">
        <v>0</v>
      </c>
      <c r="F40" s="509">
        <v>0</v>
      </c>
      <c r="G40" s="509">
        <v>0</v>
      </c>
      <c r="H40" s="509">
        <v>0</v>
      </c>
      <c r="I40" s="509">
        <v>0</v>
      </c>
      <c r="J40" s="509">
        <v>0</v>
      </c>
      <c r="K40" s="509">
        <v>0</v>
      </c>
      <c r="L40" s="509">
        <v>0</v>
      </c>
      <c r="M40" s="509">
        <v>0</v>
      </c>
      <c r="N40" s="509">
        <v>0</v>
      </c>
      <c r="O40" s="509">
        <v>0</v>
      </c>
      <c r="P40" s="68">
        <f t="shared" ref="P40:P45" si="7">SUM(D40:O40)</f>
        <v>0</v>
      </c>
      <c r="Q40" s="511">
        <v>0</v>
      </c>
      <c r="R40" s="68">
        <f t="shared" si="6"/>
        <v>0</v>
      </c>
    </row>
    <row r="41" spans="1:18">
      <c r="A41">
        <v>28</v>
      </c>
      <c r="B41" s="507" t="s">
        <v>185</v>
      </c>
      <c r="C41" s="508">
        <v>863</v>
      </c>
      <c r="D41" s="509">
        <v>4964.57</v>
      </c>
      <c r="E41" s="509">
        <v>5741.3899999999985</v>
      </c>
      <c r="F41" s="509">
        <v>16170.180000000006</v>
      </c>
      <c r="G41" s="509">
        <v>49086.910000000033</v>
      </c>
      <c r="H41" s="509">
        <v>6248.6799999999976</v>
      </c>
      <c r="I41" s="509">
        <v>4805.0599999999995</v>
      </c>
      <c r="J41" s="509">
        <v>21910.03</v>
      </c>
      <c r="K41" s="509">
        <v>24699.959999999988</v>
      </c>
      <c r="L41" s="509">
        <v>11696.169999999998</v>
      </c>
      <c r="M41" s="509">
        <v>72337.339999999938</v>
      </c>
      <c r="N41" s="509">
        <v>21130.62000000001</v>
      </c>
      <c r="O41" s="509">
        <v>24168.34</v>
      </c>
      <c r="P41" s="68">
        <f t="shared" si="7"/>
        <v>262959.25</v>
      </c>
      <c r="Q41" s="511">
        <f>'H-1 ADJ'!F68</f>
        <v>7888.7775000000001</v>
      </c>
      <c r="R41" s="68">
        <f t="shared" si="6"/>
        <v>270848.02750000003</v>
      </c>
    </row>
    <row r="42" spans="1:18">
      <c r="A42">
        <v>29</v>
      </c>
      <c r="B42" s="507" t="s">
        <v>186</v>
      </c>
      <c r="C42" s="508">
        <v>864</v>
      </c>
      <c r="D42" s="509">
        <v>0</v>
      </c>
      <c r="E42" s="509">
        <v>0</v>
      </c>
      <c r="F42" s="509">
        <v>659.56</v>
      </c>
      <c r="G42" s="509">
        <v>0</v>
      </c>
      <c r="H42" s="509">
        <v>0</v>
      </c>
      <c r="I42" s="509">
        <v>0</v>
      </c>
      <c r="J42" s="509">
        <v>0</v>
      </c>
      <c r="K42" s="509">
        <v>0</v>
      </c>
      <c r="L42" s="509">
        <v>0</v>
      </c>
      <c r="M42" s="509">
        <v>0</v>
      </c>
      <c r="N42" s="509">
        <v>0</v>
      </c>
      <c r="O42" s="509">
        <v>0</v>
      </c>
      <c r="P42" s="68">
        <f t="shared" si="7"/>
        <v>659.56</v>
      </c>
      <c r="Q42" s="511">
        <f>'H-1 ADJ'!F69</f>
        <v>19.786799999999996</v>
      </c>
      <c r="R42" s="68">
        <f t="shared" si="6"/>
        <v>679.34679999999992</v>
      </c>
    </row>
    <row r="43" spans="1:18">
      <c r="A43">
        <v>30</v>
      </c>
      <c r="B43" s="507" t="s">
        <v>187</v>
      </c>
      <c r="C43" s="508">
        <v>865</v>
      </c>
      <c r="D43" s="509">
        <v>0</v>
      </c>
      <c r="E43" s="509">
        <v>0</v>
      </c>
      <c r="F43" s="509">
        <v>0</v>
      </c>
      <c r="G43" s="509">
        <v>0</v>
      </c>
      <c r="H43" s="509">
        <v>0</v>
      </c>
      <c r="I43" s="509">
        <v>0</v>
      </c>
      <c r="J43" s="509">
        <v>0</v>
      </c>
      <c r="K43" s="509">
        <v>0</v>
      </c>
      <c r="L43" s="509">
        <v>0</v>
      </c>
      <c r="M43" s="509">
        <v>0</v>
      </c>
      <c r="N43" s="509">
        <v>0</v>
      </c>
      <c r="O43" s="509">
        <v>0</v>
      </c>
      <c r="P43" s="68">
        <f t="shared" si="7"/>
        <v>0</v>
      </c>
      <c r="Q43" s="511">
        <v>0</v>
      </c>
      <c r="R43" s="68">
        <f t="shared" si="6"/>
        <v>0</v>
      </c>
    </row>
    <row r="44" spans="1:18">
      <c r="A44">
        <v>31</v>
      </c>
      <c r="B44" s="507" t="s">
        <v>189</v>
      </c>
      <c r="C44" s="508">
        <v>866</v>
      </c>
      <c r="D44" s="509">
        <v>0</v>
      </c>
      <c r="E44" s="509">
        <v>0</v>
      </c>
      <c r="F44" s="509">
        <v>0</v>
      </c>
      <c r="G44" s="509">
        <v>0</v>
      </c>
      <c r="H44" s="509">
        <v>0</v>
      </c>
      <c r="I44" s="509">
        <v>0</v>
      </c>
      <c r="J44" s="509">
        <v>0</v>
      </c>
      <c r="K44" s="509">
        <v>0</v>
      </c>
      <c r="L44" s="509">
        <v>0</v>
      </c>
      <c r="M44" s="509">
        <v>0</v>
      </c>
      <c r="N44" s="509">
        <v>0</v>
      </c>
      <c r="O44" s="509">
        <v>0</v>
      </c>
      <c r="P44" s="68">
        <f t="shared" si="7"/>
        <v>0</v>
      </c>
      <c r="Q44" s="511">
        <v>0</v>
      </c>
      <c r="R44" s="68">
        <f t="shared" si="6"/>
        <v>0</v>
      </c>
    </row>
    <row r="45" spans="1:18">
      <c r="A45">
        <v>32</v>
      </c>
      <c r="B45" s="507" t="s">
        <v>188</v>
      </c>
      <c r="C45" s="508">
        <v>867</v>
      </c>
      <c r="D45" s="509">
        <v>0</v>
      </c>
      <c r="E45" s="509">
        <v>0</v>
      </c>
      <c r="F45" s="509">
        <v>0</v>
      </c>
      <c r="G45" s="509">
        <v>0</v>
      </c>
      <c r="H45" s="509">
        <v>0</v>
      </c>
      <c r="I45" s="509">
        <v>0</v>
      </c>
      <c r="J45" s="509">
        <v>0</v>
      </c>
      <c r="K45" s="509">
        <v>0</v>
      </c>
      <c r="L45" s="509">
        <v>0</v>
      </c>
      <c r="M45" s="509">
        <v>0</v>
      </c>
      <c r="N45" s="509">
        <v>0</v>
      </c>
      <c r="O45" s="509">
        <v>0</v>
      </c>
      <c r="P45" s="68">
        <f t="shared" si="7"/>
        <v>0</v>
      </c>
      <c r="Q45" s="511">
        <v>0</v>
      </c>
      <c r="R45" s="68">
        <f t="shared" si="6"/>
        <v>0</v>
      </c>
    </row>
    <row r="46" spans="1:18" ht="13.5" thickBot="1">
      <c r="A46">
        <v>33</v>
      </c>
      <c r="C46" s="2"/>
      <c r="D46" s="69">
        <f t="shared" ref="D46:R46" si="8">SUM(D39:D45)</f>
        <v>4964.57</v>
      </c>
      <c r="E46" s="69">
        <f t="shared" si="8"/>
        <v>5741.3899999999985</v>
      </c>
      <c r="F46" s="69">
        <f t="shared" si="8"/>
        <v>16829.740000000005</v>
      </c>
      <c r="G46" s="69">
        <f t="shared" si="8"/>
        <v>49086.910000000033</v>
      </c>
      <c r="H46" s="69">
        <f t="shared" si="8"/>
        <v>6248.6799999999976</v>
      </c>
      <c r="I46" s="69">
        <f t="shared" si="8"/>
        <v>4805.0599999999995</v>
      </c>
      <c r="J46" s="69">
        <f t="shared" si="8"/>
        <v>21910.03</v>
      </c>
      <c r="K46" s="69">
        <f t="shared" si="8"/>
        <v>24699.959999999988</v>
      </c>
      <c r="L46" s="69">
        <f t="shared" si="8"/>
        <v>11696.169999999998</v>
      </c>
      <c r="M46" s="69">
        <f t="shared" si="8"/>
        <v>72337.339999999938</v>
      </c>
      <c r="N46" s="69">
        <f t="shared" si="8"/>
        <v>21130.62000000001</v>
      </c>
      <c r="O46" s="69">
        <f t="shared" si="8"/>
        <v>24168.34</v>
      </c>
      <c r="P46" s="69">
        <f t="shared" si="8"/>
        <v>263618.81</v>
      </c>
      <c r="Q46" s="150">
        <f t="shared" si="8"/>
        <v>7908.5643</v>
      </c>
      <c r="R46" s="69">
        <f t="shared" si="8"/>
        <v>271527.37430000002</v>
      </c>
    </row>
    <row r="47" spans="1:18" ht="13.5" thickTop="1">
      <c r="B47" s="42"/>
      <c r="C47" s="2"/>
      <c r="D47" s="68"/>
      <c r="E47" s="68"/>
      <c r="F47" s="68"/>
      <c r="G47" s="68"/>
      <c r="H47" s="68"/>
      <c r="I47" s="68"/>
      <c r="J47" s="68"/>
      <c r="K47" s="68"/>
      <c r="L47" s="68"/>
      <c r="M47" s="68"/>
      <c r="N47" s="68"/>
      <c r="O47" s="68"/>
      <c r="P47" s="68"/>
      <c r="Q47" s="106"/>
      <c r="R47" s="68"/>
    </row>
    <row r="48" spans="1:18" ht="13.5" thickBot="1">
      <c r="A48">
        <v>34</v>
      </c>
      <c r="B48" s="42" t="s">
        <v>138</v>
      </c>
      <c r="C48" s="2"/>
      <c r="D48" s="69">
        <f>D37+D46</f>
        <v>51697.85000000002</v>
      </c>
      <c r="E48" s="69">
        <f t="shared" ref="E48:R48" si="9">E37+E46</f>
        <v>62476.140000000021</v>
      </c>
      <c r="F48" s="69">
        <f t="shared" si="9"/>
        <v>69480.510000000009</v>
      </c>
      <c r="G48" s="69">
        <f t="shared" si="9"/>
        <v>85823.790000000037</v>
      </c>
      <c r="H48" s="69">
        <f t="shared" si="9"/>
        <v>53640.750000000007</v>
      </c>
      <c r="I48" s="69">
        <f t="shared" si="9"/>
        <v>54400.080000000016</v>
      </c>
      <c r="J48" s="69">
        <f t="shared" si="9"/>
        <v>79947.72</v>
      </c>
      <c r="K48" s="69">
        <f t="shared" si="9"/>
        <v>81735.51999999999</v>
      </c>
      <c r="L48" s="69">
        <f t="shared" si="9"/>
        <v>50674.219999999994</v>
      </c>
      <c r="M48" s="69">
        <f t="shared" si="9"/>
        <v>110824.18999999993</v>
      </c>
      <c r="N48" s="69">
        <f t="shared" si="9"/>
        <v>66100</v>
      </c>
      <c r="O48" s="69">
        <f t="shared" si="9"/>
        <v>86810.330000000016</v>
      </c>
      <c r="P48" s="69">
        <f t="shared" si="9"/>
        <v>853611.10000000009</v>
      </c>
      <c r="Q48" s="150">
        <f t="shared" si="9"/>
        <v>25608.333100000003</v>
      </c>
      <c r="R48" s="69">
        <f t="shared" si="9"/>
        <v>879219.43310000002</v>
      </c>
    </row>
    <row r="49" spans="1:18" ht="13.5" thickTop="1">
      <c r="B49" s="42"/>
      <c r="C49" s="497"/>
      <c r="D49" s="127"/>
      <c r="E49" s="127"/>
      <c r="F49" s="127"/>
      <c r="G49" s="127"/>
      <c r="H49" s="127"/>
      <c r="I49" s="127"/>
      <c r="J49" s="127"/>
      <c r="K49" s="127"/>
      <c r="L49" s="127"/>
      <c r="M49" s="127"/>
      <c r="N49" s="127"/>
      <c r="O49" s="127"/>
      <c r="P49" s="127"/>
      <c r="Q49" s="466"/>
      <c r="R49" s="127"/>
    </row>
    <row r="50" spans="1:18">
      <c r="A50">
        <v>35</v>
      </c>
      <c r="B50" s="42" t="s">
        <v>139</v>
      </c>
      <c r="C50" s="2"/>
      <c r="D50" s="68"/>
      <c r="E50" s="68"/>
      <c r="F50" s="68"/>
      <c r="G50" s="68"/>
      <c r="H50" s="68"/>
      <c r="I50" s="68"/>
      <c r="J50" s="68"/>
      <c r="K50" s="68"/>
      <c r="L50" s="68"/>
      <c r="M50" s="68"/>
      <c r="N50" s="68"/>
      <c r="O50" s="68"/>
      <c r="P50" s="68"/>
      <c r="Q50" s="106"/>
      <c r="R50" s="68"/>
    </row>
    <row r="51" spans="1:18">
      <c r="A51">
        <v>36</v>
      </c>
      <c r="B51" s="507" t="s">
        <v>140</v>
      </c>
      <c r="C51" s="508">
        <v>904</v>
      </c>
      <c r="D51" s="509">
        <v>0</v>
      </c>
      <c r="E51" s="509">
        <v>0</v>
      </c>
      <c r="F51" s="509">
        <v>0</v>
      </c>
      <c r="G51" s="509">
        <v>0</v>
      </c>
      <c r="H51" s="509">
        <v>0</v>
      </c>
      <c r="I51" s="509">
        <v>0</v>
      </c>
      <c r="J51" s="509">
        <v>0</v>
      </c>
      <c r="K51" s="509">
        <v>0</v>
      </c>
      <c r="L51" s="509">
        <v>0</v>
      </c>
      <c r="M51" s="509">
        <v>0</v>
      </c>
      <c r="N51" s="509">
        <v>0</v>
      </c>
      <c r="O51" s="509">
        <v>0</v>
      </c>
      <c r="P51" s="68">
        <f t="shared" ref="P51:P63" si="10">SUM(D51:O51)</f>
        <v>0</v>
      </c>
      <c r="Q51" s="269">
        <v>0</v>
      </c>
      <c r="R51" s="68">
        <f t="shared" ref="R51:R63" si="11">+P51+Q51</f>
        <v>0</v>
      </c>
    </row>
    <row r="52" spans="1:18">
      <c r="A52">
        <v>37</v>
      </c>
      <c r="B52" s="507" t="s">
        <v>141</v>
      </c>
      <c r="C52" s="508">
        <v>920</v>
      </c>
      <c r="D52" s="509">
        <v>0</v>
      </c>
      <c r="E52" s="509">
        <v>0</v>
      </c>
      <c r="F52" s="509">
        <v>0</v>
      </c>
      <c r="G52" s="509">
        <v>0</v>
      </c>
      <c r="H52" s="509">
        <v>0</v>
      </c>
      <c r="I52" s="509">
        <v>0</v>
      </c>
      <c r="J52" s="509">
        <v>0</v>
      </c>
      <c r="K52" s="509">
        <v>0</v>
      </c>
      <c r="L52" s="509">
        <v>0</v>
      </c>
      <c r="M52" s="509">
        <v>0</v>
      </c>
      <c r="N52" s="509">
        <v>0</v>
      </c>
      <c r="O52" s="509">
        <v>0</v>
      </c>
      <c r="P52" s="68">
        <f t="shared" si="10"/>
        <v>0</v>
      </c>
      <c r="Q52" s="269">
        <v>0</v>
      </c>
      <c r="R52" s="68">
        <f t="shared" si="11"/>
        <v>0</v>
      </c>
    </row>
    <row r="53" spans="1:18">
      <c r="A53">
        <v>38</v>
      </c>
      <c r="B53" s="507" t="s">
        <v>142</v>
      </c>
      <c r="C53" s="508">
        <v>921</v>
      </c>
      <c r="D53" s="509">
        <v>0</v>
      </c>
      <c r="E53" s="509">
        <v>0</v>
      </c>
      <c r="F53" s="509">
        <v>0</v>
      </c>
      <c r="G53" s="509">
        <v>0</v>
      </c>
      <c r="H53" s="509">
        <v>0</v>
      </c>
      <c r="I53" s="509">
        <v>0</v>
      </c>
      <c r="J53" s="509">
        <v>0</v>
      </c>
      <c r="K53" s="509">
        <v>0</v>
      </c>
      <c r="L53" s="509">
        <v>0</v>
      </c>
      <c r="M53" s="509">
        <v>0</v>
      </c>
      <c r="N53" s="509">
        <v>0</v>
      </c>
      <c r="O53" s="509">
        <v>0</v>
      </c>
      <c r="P53" s="68">
        <f t="shared" si="10"/>
        <v>0</v>
      </c>
      <c r="Q53" s="269">
        <v>0</v>
      </c>
      <c r="R53" s="68">
        <f t="shared" si="11"/>
        <v>0</v>
      </c>
    </row>
    <row r="54" spans="1:18">
      <c r="A54">
        <v>39</v>
      </c>
      <c r="B54" s="507" t="s">
        <v>143</v>
      </c>
      <c r="C54" s="508">
        <v>922</v>
      </c>
      <c r="D54" s="509">
        <v>0</v>
      </c>
      <c r="E54" s="509">
        <v>0</v>
      </c>
      <c r="F54" s="509">
        <v>0</v>
      </c>
      <c r="G54" s="509">
        <v>0</v>
      </c>
      <c r="H54" s="509">
        <v>0</v>
      </c>
      <c r="I54" s="509">
        <v>0</v>
      </c>
      <c r="J54" s="509">
        <v>0</v>
      </c>
      <c r="K54" s="509">
        <v>0</v>
      </c>
      <c r="L54" s="509">
        <v>0</v>
      </c>
      <c r="M54" s="509">
        <v>0</v>
      </c>
      <c r="N54" s="509">
        <v>0</v>
      </c>
      <c r="O54" s="509">
        <v>0</v>
      </c>
      <c r="P54" s="68">
        <f t="shared" si="10"/>
        <v>0</v>
      </c>
      <c r="Q54" s="269">
        <v>0</v>
      </c>
      <c r="R54" s="68">
        <f t="shared" si="11"/>
        <v>0</v>
      </c>
    </row>
    <row r="55" spans="1:18">
      <c r="A55">
        <v>40</v>
      </c>
      <c r="B55" s="507" t="s">
        <v>144</v>
      </c>
      <c r="C55" s="508">
        <v>923</v>
      </c>
      <c r="D55" s="509">
        <v>190211.05999999997</v>
      </c>
      <c r="E55" s="509">
        <v>154821.21999999983</v>
      </c>
      <c r="F55" s="509">
        <v>99696.939999999799</v>
      </c>
      <c r="G55" s="509">
        <v>158052.04999999981</v>
      </c>
      <c r="H55" s="509">
        <v>225951.21999999945</v>
      </c>
      <c r="I55" s="509">
        <v>154620.28</v>
      </c>
      <c r="J55" s="509">
        <v>175487.52999999991</v>
      </c>
      <c r="K55" s="509">
        <v>125498.65000000008</v>
      </c>
      <c r="L55" s="509">
        <v>159804.06999999998</v>
      </c>
      <c r="M55" s="509">
        <v>146847.08000000019</v>
      </c>
      <c r="N55" s="509">
        <v>249841.29999999961</v>
      </c>
      <c r="O55" s="509">
        <v>95736.04000000011</v>
      </c>
      <c r="P55" s="68">
        <f t="shared" si="10"/>
        <v>1936567.4399999988</v>
      </c>
      <c r="Q55" s="588">
        <f>'H-1 ADJ'!F70</f>
        <v>58097.02</v>
      </c>
      <c r="R55" s="68">
        <f t="shared" si="11"/>
        <v>1994664.4599999988</v>
      </c>
    </row>
    <row r="56" spans="1:18">
      <c r="A56">
        <v>41</v>
      </c>
      <c r="B56" s="507" t="s">
        <v>145</v>
      </c>
      <c r="C56" s="508">
        <v>924</v>
      </c>
      <c r="D56" s="509">
        <v>0</v>
      </c>
      <c r="E56" s="509">
        <v>0</v>
      </c>
      <c r="F56" s="509">
        <v>0</v>
      </c>
      <c r="G56" s="509">
        <v>0</v>
      </c>
      <c r="H56" s="509">
        <v>0</v>
      </c>
      <c r="I56" s="509">
        <v>0</v>
      </c>
      <c r="J56" s="509">
        <v>0</v>
      </c>
      <c r="K56" s="509">
        <v>0</v>
      </c>
      <c r="L56" s="509">
        <v>0</v>
      </c>
      <c r="M56" s="509">
        <v>0</v>
      </c>
      <c r="N56" s="509">
        <v>0</v>
      </c>
      <c r="O56" s="509">
        <v>0</v>
      </c>
      <c r="P56" s="68">
        <f t="shared" si="10"/>
        <v>0</v>
      </c>
      <c r="Q56" s="269">
        <v>0</v>
      </c>
      <c r="R56" s="68">
        <f t="shared" si="11"/>
        <v>0</v>
      </c>
    </row>
    <row r="57" spans="1:18">
      <c r="A57">
        <v>42</v>
      </c>
      <c r="B57" s="513" t="s">
        <v>146</v>
      </c>
      <c r="C57" s="508">
        <v>925</v>
      </c>
      <c r="D57" s="509">
        <v>0</v>
      </c>
      <c r="E57" s="509">
        <v>0</v>
      </c>
      <c r="F57" s="509">
        <v>0</v>
      </c>
      <c r="G57" s="509">
        <v>0</v>
      </c>
      <c r="H57" s="509">
        <v>0</v>
      </c>
      <c r="I57" s="509">
        <v>0</v>
      </c>
      <c r="J57" s="509">
        <v>0</v>
      </c>
      <c r="K57" s="509">
        <v>0</v>
      </c>
      <c r="L57" s="509">
        <v>0</v>
      </c>
      <c r="M57" s="509">
        <v>0</v>
      </c>
      <c r="N57" s="509">
        <v>0</v>
      </c>
      <c r="O57" s="509">
        <v>0</v>
      </c>
      <c r="P57" s="68">
        <f t="shared" si="10"/>
        <v>0</v>
      </c>
      <c r="Q57" s="269">
        <v>0</v>
      </c>
      <c r="R57" s="68">
        <f t="shared" si="11"/>
        <v>0</v>
      </c>
    </row>
    <row r="58" spans="1:18">
      <c r="A58">
        <v>43</v>
      </c>
      <c r="B58" s="513" t="s">
        <v>147</v>
      </c>
      <c r="C58" s="508">
        <v>926</v>
      </c>
      <c r="D58" s="509">
        <v>0</v>
      </c>
      <c r="E58" s="509">
        <v>0</v>
      </c>
      <c r="F58" s="509">
        <v>0</v>
      </c>
      <c r="G58" s="509">
        <v>0</v>
      </c>
      <c r="H58" s="509">
        <v>0</v>
      </c>
      <c r="I58" s="509">
        <v>0</v>
      </c>
      <c r="J58" s="509">
        <v>0</v>
      </c>
      <c r="K58" s="509">
        <v>0</v>
      </c>
      <c r="L58" s="509">
        <v>0</v>
      </c>
      <c r="M58" s="509">
        <v>0</v>
      </c>
      <c r="N58" s="509">
        <v>0</v>
      </c>
      <c r="O58" s="509">
        <v>0</v>
      </c>
      <c r="P58" s="68">
        <f t="shared" si="10"/>
        <v>0</v>
      </c>
      <c r="Q58" s="269">
        <v>0</v>
      </c>
      <c r="R58" s="68">
        <f t="shared" si="11"/>
        <v>0</v>
      </c>
    </row>
    <row r="59" spans="1:18">
      <c r="A59">
        <v>44</v>
      </c>
      <c r="B59" s="513" t="s">
        <v>148</v>
      </c>
      <c r="C59" s="508">
        <v>928</v>
      </c>
      <c r="D59" s="509">
        <v>0</v>
      </c>
      <c r="E59" s="509">
        <v>0</v>
      </c>
      <c r="F59" s="509">
        <v>0</v>
      </c>
      <c r="G59" s="509">
        <v>0</v>
      </c>
      <c r="H59" s="509">
        <v>0</v>
      </c>
      <c r="I59" s="509">
        <v>0</v>
      </c>
      <c r="J59" s="509">
        <v>0</v>
      </c>
      <c r="K59" s="509">
        <v>0</v>
      </c>
      <c r="L59" s="509">
        <v>0</v>
      </c>
      <c r="M59" s="509">
        <v>0</v>
      </c>
      <c r="N59" s="509">
        <v>0</v>
      </c>
      <c r="O59" s="509">
        <v>0</v>
      </c>
      <c r="P59" s="68">
        <f t="shared" si="10"/>
        <v>0</v>
      </c>
      <c r="Q59" s="269">
        <v>0</v>
      </c>
      <c r="R59" s="68">
        <f t="shared" si="11"/>
        <v>0</v>
      </c>
    </row>
    <row r="60" spans="1:18" s="72" customFormat="1">
      <c r="A60" s="72">
        <v>45</v>
      </c>
      <c r="B60" s="513" t="s">
        <v>149</v>
      </c>
      <c r="C60" s="524">
        <v>930.2</v>
      </c>
      <c r="D60" s="516">
        <v>0</v>
      </c>
      <c r="E60" s="516">
        <v>0</v>
      </c>
      <c r="F60" s="516">
        <v>0</v>
      </c>
      <c r="G60" s="516">
        <v>0</v>
      </c>
      <c r="H60" s="516">
        <v>0</v>
      </c>
      <c r="I60" s="516">
        <v>0</v>
      </c>
      <c r="J60" s="516">
        <v>0</v>
      </c>
      <c r="K60" s="516">
        <v>0</v>
      </c>
      <c r="L60" s="516">
        <v>0</v>
      </c>
      <c r="M60" s="516">
        <v>0</v>
      </c>
      <c r="N60" s="516">
        <v>0</v>
      </c>
      <c r="O60" s="516">
        <v>0</v>
      </c>
      <c r="P60" s="106">
        <f t="shared" si="10"/>
        <v>0</v>
      </c>
      <c r="Q60" s="269">
        <v>0</v>
      </c>
      <c r="R60" s="106">
        <f t="shared" si="11"/>
        <v>0</v>
      </c>
    </row>
    <row r="61" spans="1:18">
      <c r="A61">
        <v>46</v>
      </c>
      <c r="B61" s="507" t="s">
        <v>150</v>
      </c>
      <c r="C61" s="508">
        <v>931</v>
      </c>
      <c r="D61" s="509">
        <v>0</v>
      </c>
      <c r="E61" s="509">
        <v>0</v>
      </c>
      <c r="F61" s="509">
        <v>0</v>
      </c>
      <c r="G61" s="509">
        <v>0</v>
      </c>
      <c r="H61" s="509">
        <v>0</v>
      </c>
      <c r="I61" s="509">
        <v>0</v>
      </c>
      <c r="J61" s="509">
        <v>0</v>
      </c>
      <c r="K61" s="509">
        <v>0</v>
      </c>
      <c r="L61" s="509">
        <v>0</v>
      </c>
      <c r="M61" s="509">
        <v>0</v>
      </c>
      <c r="N61" s="509">
        <v>0</v>
      </c>
      <c r="O61" s="509">
        <v>0</v>
      </c>
      <c r="P61" s="68">
        <f t="shared" si="10"/>
        <v>0</v>
      </c>
      <c r="Q61" s="269">
        <v>0</v>
      </c>
      <c r="R61" s="68">
        <f t="shared" si="11"/>
        <v>0</v>
      </c>
    </row>
    <row r="62" spans="1:18">
      <c r="A62">
        <v>47</v>
      </c>
      <c r="B62" s="507" t="s">
        <v>443</v>
      </c>
      <c r="C62" s="508">
        <v>932</v>
      </c>
      <c r="D62" s="509">
        <v>0</v>
      </c>
      <c r="E62" s="509">
        <v>0</v>
      </c>
      <c r="F62" s="509">
        <v>0</v>
      </c>
      <c r="G62" s="509">
        <v>0</v>
      </c>
      <c r="H62" s="509">
        <v>0</v>
      </c>
      <c r="I62" s="509">
        <v>0</v>
      </c>
      <c r="J62" s="509">
        <v>0</v>
      </c>
      <c r="K62" s="509">
        <v>0</v>
      </c>
      <c r="L62" s="509">
        <v>0</v>
      </c>
      <c r="M62" s="509">
        <v>0</v>
      </c>
      <c r="N62" s="509">
        <v>0</v>
      </c>
      <c r="O62" s="509">
        <v>0</v>
      </c>
      <c r="P62" s="68">
        <f t="shared" si="10"/>
        <v>0</v>
      </c>
      <c r="Q62" s="269">
        <v>0</v>
      </c>
      <c r="R62" s="68">
        <f t="shared" si="11"/>
        <v>0</v>
      </c>
    </row>
    <row r="63" spans="1:18">
      <c r="A63">
        <v>48</v>
      </c>
      <c r="B63" s="507" t="s">
        <v>137</v>
      </c>
      <c r="C63" s="508"/>
      <c r="D63" s="509"/>
      <c r="E63" s="509"/>
      <c r="F63" s="509"/>
      <c r="G63" s="509"/>
      <c r="H63" s="509"/>
      <c r="I63" s="509"/>
      <c r="J63" s="509"/>
      <c r="K63" s="509"/>
      <c r="L63" s="509"/>
      <c r="M63" s="509"/>
      <c r="N63" s="509"/>
      <c r="O63" s="509"/>
      <c r="P63" s="68">
        <f t="shared" si="10"/>
        <v>0</v>
      </c>
      <c r="Q63" s="106">
        <v>0</v>
      </c>
      <c r="R63" s="68">
        <f t="shared" si="11"/>
        <v>0</v>
      </c>
    </row>
    <row r="64" spans="1:18" ht="13.5" thickBot="1">
      <c r="A64">
        <v>49</v>
      </c>
      <c r="B64" s="42" t="s">
        <v>151</v>
      </c>
      <c r="C64" s="2"/>
      <c r="D64" s="69">
        <f t="shared" ref="D64:R64" si="12">SUM(D51:D63)</f>
        <v>190211.05999999997</v>
      </c>
      <c r="E64" s="69">
        <f t="shared" si="12"/>
        <v>154821.21999999983</v>
      </c>
      <c r="F64" s="69">
        <f t="shared" si="12"/>
        <v>99696.939999999799</v>
      </c>
      <c r="G64" s="69">
        <f t="shared" si="12"/>
        <v>158052.04999999981</v>
      </c>
      <c r="H64" s="69">
        <f t="shared" si="12"/>
        <v>225951.21999999945</v>
      </c>
      <c r="I64" s="69">
        <f t="shared" si="12"/>
        <v>154620.28</v>
      </c>
      <c r="J64" s="69">
        <f t="shared" si="12"/>
        <v>175487.52999999991</v>
      </c>
      <c r="K64" s="69">
        <f t="shared" si="12"/>
        <v>125498.65000000008</v>
      </c>
      <c r="L64" s="69">
        <f t="shared" si="12"/>
        <v>159804.06999999998</v>
      </c>
      <c r="M64" s="69">
        <f t="shared" si="12"/>
        <v>146847.08000000019</v>
      </c>
      <c r="N64" s="69">
        <f t="shared" si="12"/>
        <v>249841.29999999961</v>
      </c>
      <c r="O64" s="69">
        <f t="shared" si="12"/>
        <v>95736.04000000011</v>
      </c>
      <c r="P64" s="69">
        <f t="shared" si="12"/>
        <v>1936567.4399999988</v>
      </c>
      <c r="Q64" s="150">
        <f t="shared" si="12"/>
        <v>58097.02</v>
      </c>
      <c r="R64" s="69">
        <f t="shared" si="12"/>
        <v>1994664.4599999988</v>
      </c>
    </row>
    <row r="65" spans="1:18" ht="13.5" thickTop="1">
      <c r="B65" s="42"/>
      <c r="C65" s="2"/>
      <c r="D65" s="68"/>
      <c r="E65" s="68"/>
      <c r="F65" s="68"/>
      <c r="G65" s="68"/>
      <c r="H65" s="68"/>
      <c r="I65" s="68"/>
      <c r="J65" s="68"/>
      <c r="K65" s="68"/>
      <c r="L65" s="68"/>
      <c r="M65" s="68"/>
      <c r="N65" s="68"/>
      <c r="O65" s="68"/>
      <c r="P65" s="68"/>
      <c r="Q65" s="106"/>
      <c r="R65" s="68"/>
    </row>
    <row r="66" spans="1:18" ht="13.5" thickBot="1">
      <c r="A66">
        <v>50</v>
      </c>
      <c r="B66" s="42" t="s">
        <v>377</v>
      </c>
      <c r="C66" s="2"/>
      <c r="D66" s="69">
        <f t="shared" ref="D66:R66" si="13">D64+D48</f>
        <v>241908.90999999997</v>
      </c>
      <c r="E66" s="69">
        <f t="shared" si="13"/>
        <v>217297.35999999984</v>
      </c>
      <c r="F66" s="69">
        <f t="shared" si="13"/>
        <v>169177.44999999981</v>
      </c>
      <c r="G66" s="69">
        <f t="shared" si="13"/>
        <v>243875.83999999985</v>
      </c>
      <c r="H66" s="69">
        <f t="shared" si="13"/>
        <v>279591.96999999945</v>
      </c>
      <c r="I66" s="69">
        <f t="shared" si="13"/>
        <v>209020.36000000002</v>
      </c>
      <c r="J66" s="69">
        <f t="shared" si="13"/>
        <v>255435.24999999991</v>
      </c>
      <c r="K66" s="69">
        <f t="shared" si="13"/>
        <v>207234.17000000007</v>
      </c>
      <c r="L66" s="69">
        <f t="shared" si="13"/>
        <v>210478.28999999998</v>
      </c>
      <c r="M66" s="69">
        <f t="shared" si="13"/>
        <v>257671.27000000014</v>
      </c>
      <c r="N66" s="69">
        <f t="shared" si="13"/>
        <v>315941.29999999958</v>
      </c>
      <c r="O66" s="69">
        <f t="shared" si="13"/>
        <v>182546.37000000011</v>
      </c>
      <c r="P66" s="69">
        <f t="shared" si="13"/>
        <v>2790178.5399999991</v>
      </c>
      <c r="Q66" s="150">
        <f t="shared" si="13"/>
        <v>83705.353100000008</v>
      </c>
      <c r="R66" s="69">
        <f t="shared" si="13"/>
        <v>2873883.8930999991</v>
      </c>
    </row>
    <row r="67" spans="1:18" ht="13.5" thickTop="1">
      <c r="C67" s="2"/>
      <c r="D67" s="68"/>
      <c r="E67" s="68"/>
      <c r="F67" s="68"/>
      <c r="G67" s="68"/>
      <c r="H67" s="68"/>
      <c r="I67" s="68"/>
      <c r="J67" s="68"/>
      <c r="K67" s="68"/>
      <c r="L67" s="68"/>
      <c r="M67" s="68"/>
      <c r="N67" s="68"/>
      <c r="O67" s="68"/>
      <c r="P67" s="68"/>
      <c r="Q67" s="106"/>
      <c r="R67" s="68"/>
    </row>
    <row r="68" spans="1:18">
      <c r="C68" s="2"/>
      <c r="D68" s="68"/>
      <c r="E68" s="68"/>
      <c r="F68" s="68"/>
      <c r="G68" s="68"/>
      <c r="H68" s="68"/>
      <c r="I68" s="68"/>
      <c r="J68" s="68"/>
      <c r="K68" s="68"/>
      <c r="L68" s="68"/>
      <c r="M68" s="68"/>
      <c r="N68" s="68"/>
      <c r="O68" s="68"/>
      <c r="Q68" s="68"/>
      <c r="R68" s="68"/>
    </row>
    <row r="69" spans="1:18">
      <c r="C69" s="2"/>
      <c r="D69" s="68"/>
      <c r="E69" s="68"/>
      <c r="F69" s="68"/>
      <c r="G69" s="68"/>
      <c r="H69" s="68"/>
      <c r="I69" s="68"/>
      <c r="J69" s="68"/>
      <c r="K69" s="68"/>
      <c r="L69" s="68"/>
      <c r="M69" s="68"/>
      <c r="N69" s="68"/>
      <c r="O69" s="68"/>
      <c r="P69" s="68"/>
      <c r="Q69" s="68"/>
      <c r="R69" s="68"/>
    </row>
    <row r="70" spans="1:18">
      <c r="C70" s="2"/>
      <c r="D70" s="68"/>
      <c r="E70" s="68"/>
      <c r="F70" s="68"/>
      <c r="G70" s="68"/>
      <c r="H70" s="68"/>
      <c r="I70" s="68"/>
      <c r="J70" s="68"/>
      <c r="K70" s="68"/>
      <c r="L70" s="68"/>
      <c r="M70" s="68"/>
      <c r="N70" s="68"/>
      <c r="O70" s="68"/>
      <c r="P70" s="68"/>
      <c r="Q70" s="68"/>
      <c r="R70" s="68"/>
    </row>
    <row r="71" spans="1:18">
      <c r="C71" s="2"/>
      <c r="R71" s="68"/>
    </row>
    <row r="72" spans="1:18">
      <c r="C72" s="2"/>
    </row>
    <row r="73" spans="1:18">
      <c r="C73" s="2"/>
    </row>
    <row r="74" spans="1:18">
      <c r="C74" s="2"/>
    </row>
    <row r="75" spans="1:18">
      <c r="C75" s="2"/>
    </row>
    <row r="76" spans="1:18">
      <c r="C76" s="2"/>
    </row>
    <row r="77" spans="1:18">
      <c r="C77" s="2"/>
    </row>
    <row r="78" spans="1:18">
      <c r="C78" s="2"/>
    </row>
    <row r="79" spans="1:18">
      <c r="C79" s="2"/>
    </row>
    <row r="80" spans="1:18">
      <c r="C80" s="2"/>
    </row>
    <row r="81" spans="3:3">
      <c r="C81" s="2"/>
    </row>
    <row r="82" spans="3:3">
      <c r="C82" s="2"/>
    </row>
    <row r="83" spans="3:3">
      <c r="C83" s="2"/>
    </row>
    <row r="84" spans="3:3">
      <c r="C84" s="2"/>
    </row>
    <row r="85" spans="3:3">
      <c r="C85" s="2"/>
    </row>
    <row r="86" spans="3:3">
      <c r="C86" s="2"/>
    </row>
    <row r="87" spans="3:3">
      <c r="C87" s="2"/>
    </row>
    <row r="88" spans="3:3">
      <c r="C88" s="2"/>
    </row>
    <row r="89" spans="3:3">
      <c r="C89" s="2"/>
    </row>
    <row r="90" spans="3:3">
      <c r="C90" s="2"/>
    </row>
    <row r="91" spans="3:3">
      <c r="C91" s="2"/>
    </row>
    <row r="92" spans="3:3">
      <c r="C92" s="2"/>
    </row>
    <row r="93" spans="3:3">
      <c r="C93" s="2"/>
    </row>
    <row r="94" spans="3:3">
      <c r="C94" s="2"/>
    </row>
    <row r="95" spans="3:3">
      <c r="C95" s="2"/>
    </row>
    <row r="96" spans="3:3">
      <c r="C96" s="2"/>
    </row>
    <row r="97" spans="3:5">
      <c r="C97" s="2"/>
    </row>
    <row r="98" spans="3:5">
      <c r="C98" s="2"/>
    </row>
    <row r="99" spans="3:5">
      <c r="C99" s="2"/>
    </row>
    <row r="100" spans="3:5">
      <c r="C100" s="2"/>
    </row>
    <row r="101" spans="3:5">
      <c r="C101" s="2"/>
    </row>
    <row r="102" spans="3:5">
      <c r="D102" s="5"/>
      <c r="E102" s="5"/>
    </row>
    <row r="103" spans="3:5">
      <c r="D103" s="5"/>
      <c r="E103" s="5"/>
    </row>
    <row r="104" spans="3:5">
      <c r="D104" s="5"/>
      <c r="E104" s="5"/>
    </row>
    <row r="105" spans="3:5">
      <c r="D105" s="5"/>
      <c r="E105" s="5"/>
    </row>
    <row r="106" spans="3:5">
      <c r="D106" s="5"/>
      <c r="E106" s="5"/>
    </row>
    <row r="107" spans="3:5">
      <c r="D107" s="5"/>
      <c r="E107" s="5"/>
    </row>
    <row r="108" spans="3:5">
      <c r="D108" s="5"/>
      <c r="E108" s="5"/>
    </row>
    <row r="109" spans="3:5">
      <c r="D109" s="5"/>
      <c r="E109" s="5"/>
    </row>
    <row r="110" spans="3:5">
      <c r="D110" s="5"/>
      <c r="E110" s="5"/>
    </row>
    <row r="111" spans="3:5">
      <c r="D111" s="5"/>
      <c r="E111" s="5"/>
    </row>
    <row r="112" spans="3:5">
      <c r="D112" s="5"/>
      <c r="E112" s="5"/>
    </row>
    <row r="113" spans="4:5">
      <c r="D113" s="5"/>
      <c r="E113" s="5"/>
    </row>
    <row r="114" spans="4:5">
      <c r="D114" s="5"/>
      <c r="E114" s="5"/>
    </row>
    <row r="115" spans="4:5">
      <c r="D115" s="5"/>
      <c r="E115" s="5"/>
    </row>
    <row r="116" spans="4:5">
      <c r="D116" s="5"/>
      <c r="E116" s="5"/>
    </row>
    <row r="117" spans="4:5">
      <c r="D117" s="5"/>
      <c r="E117" s="5"/>
    </row>
    <row r="118" spans="4:5">
      <c r="D118" s="5"/>
      <c r="E118" s="5"/>
    </row>
    <row r="119" spans="4:5">
      <c r="D119" s="5"/>
      <c r="E119" s="5"/>
    </row>
    <row r="120" spans="4:5">
      <c r="D120" s="5"/>
      <c r="E120" s="5"/>
    </row>
    <row r="121" spans="4:5">
      <c r="D121" s="5"/>
      <c r="E121" s="5"/>
    </row>
    <row r="122" spans="4:5">
      <c r="D122" s="5"/>
      <c r="E122" s="5"/>
    </row>
    <row r="123" spans="4:5">
      <c r="D123" s="5"/>
      <c r="E123" s="5"/>
    </row>
    <row r="124" spans="4:5">
      <c r="D124" s="5"/>
      <c r="E124" s="5"/>
    </row>
    <row r="125" spans="4:5">
      <c r="D125" s="5"/>
      <c r="E125" s="5"/>
    </row>
    <row r="126" spans="4:5">
      <c r="D126" s="5"/>
      <c r="E126" s="5"/>
    </row>
    <row r="127" spans="4:5">
      <c r="D127" s="5"/>
      <c r="E127" s="5"/>
    </row>
    <row r="128" spans="4:5">
      <c r="D128" s="5"/>
      <c r="E128" s="5"/>
    </row>
    <row r="129" spans="4:5">
      <c r="D129" s="5"/>
      <c r="E129" s="5"/>
    </row>
    <row r="130" spans="4:5">
      <c r="D130" s="5"/>
      <c r="E130" s="5"/>
    </row>
    <row r="131" spans="4:5">
      <c r="D131" s="5"/>
      <c r="E131" s="5"/>
    </row>
    <row r="132" spans="4:5">
      <c r="D132" s="5"/>
      <c r="E132" s="5"/>
    </row>
    <row r="133" spans="4:5">
      <c r="D133" s="5"/>
      <c r="E133" s="5"/>
    </row>
    <row r="134" spans="4:5">
      <c r="D134" s="5"/>
      <c r="E134" s="5"/>
    </row>
    <row r="135" spans="4:5">
      <c r="D135" s="5"/>
      <c r="E135" s="5"/>
    </row>
    <row r="136" spans="4:5">
      <c r="D136" s="5"/>
      <c r="E136" s="5"/>
    </row>
    <row r="137" spans="4:5">
      <c r="D137" s="5"/>
      <c r="E137" s="5"/>
    </row>
    <row r="138" spans="4:5">
      <c r="D138" s="5"/>
      <c r="E138" s="5"/>
    </row>
    <row r="139" spans="4:5">
      <c r="D139" s="5"/>
      <c r="E139" s="5"/>
    </row>
    <row r="140" spans="4:5">
      <c r="D140" s="5"/>
      <c r="E140" s="5"/>
    </row>
    <row r="141" spans="4:5">
      <c r="D141" s="5"/>
      <c r="E141" s="5"/>
    </row>
    <row r="142" spans="4:5">
      <c r="D142" s="5"/>
      <c r="E142" s="5"/>
    </row>
    <row r="143" spans="4:5">
      <c r="D143" s="5"/>
      <c r="E143" s="5"/>
    </row>
    <row r="144" spans="4:5">
      <c r="D144" s="5"/>
      <c r="E144" s="5"/>
    </row>
    <row r="145" spans="4:5">
      <c r="D145" s="5"/>
      <c r="E145" s="5"/>
    </row>
    <row r="146" spans="4:5">
      <c r="D146" s="5"/>
      <c r="E146" s="5"/>
    </row>
    <row r="147" spans="4:5">
      <c r="D147" s="5"/>
      <c r="E147" s="5"/>
    </row>
    <row r="148" spans="4:5">
      <c r="D148" s="5"/>
      <c r="E148" s="5"/>
    </row>
    <row r="149" spans="4:5">
      <c r="D149" s="5"/>
      <c r="E149" s="5"/>
    </row>
    <row r="150" spans="4:5">
      <c r="D150" s="5"/>
      <c r="E150" s="5"/>
    </row>
    <row r="151" spans="4:5">
      <c r="D151" s="5"/>
      <c r="E151" s="5"/>
    </row>
    <row r="152" spans="4:5">
      <c r="D152" s="5"/>
      <c r="E152" s="5"/>
    </row>
    <row r="153" spans="4:5">
      <c r="D153" s="5"/>
      <c r="E153" s="5"/>
    </row>
    <row r="154" spans="4:5">
      <c r="D154" s="5"/>
      <c r="E154" s="5"/>
    </row>
    <row r="155" spans="4:5">
      <c r="D155" s="5"/>
      <c r="E155" s="5"/>
    </row>
    <row r="156" spans="4:5">
      <c r="D156" s="5"/>
      <c r="E156" s="5"/>
    </row>
    <row r="157" spans="4:5">
      <c r="D157" s="5"/>
      <c r="E157" s="5"/>
    </row>
    <row r="158" spans="4:5">
      <c r="D158" s="5"/>
      <c r="E158" s="5"/>
    </row>
    <row r="159" spans="4:5">
      <c r="D159" s="5"/>
      <c r="E159" s="5"/>
    </row>
    <row r="160" spans="4:5">
      <c r="D160" s="5"/>
      <c r="E160" s="5"/>
    </row>
    <row r="161" spans="4:5">
      <c r="D161" s="5"/>
      <c r="E161" s="5"/>
    </row>
    <row r="162" spans="4:5">
      <c r="D162" s="5"/>
      <c r="E162" s="5"/>
    </row>
    <row r="163" spans="4:5">
      <c r="D163" s="5"/>
      <c r="E163" s="5"/>
    </row>
    <row r="164" spans="4:5">
      <c r="D164" s="5"/>
      <c r="E164" s="5"/>
    </row>
    <row r="165" spans="4:5">
      <c r="D165" s="5"/>
      <c r="E165" s="5"/>
    </row>
    <row r="166" spans="4:5">
      <c r="D166" s="5"/>
      <c r="E166" s="5"/>
    </row>
    <row r="167" spans="4:5">
      <c r="D167" s="5"/>
      <c r="E167" s="5"/>
    </row>
    <row r="168" spans="4:5">
      <c r="D168" s="5"/>
      <c r="E168" s="5"/>
    </row>
    <row r="169" spans="4:5">
      <c r="D169" s="5"/>
      <c r="E169" s="5"/>
    </row>
    <row r="170" spans="4:5">
      <c r="D170" s="5"/>
      <c r="E170" s="5"/>
    </row>
    <row r="171" spans="4:5">
      <c r="D171" s="5"/>
      <c r="E171" s="5"/>
    </row>
    <row r="172" spans="4:5">
      <c r="D172" s="5"/>
      <c r="E172" s="5"/>
    </row>
    <row r="173" spans="4:5">
      <c r="D173" s="5"/>
      <c r="E173" s="5"/>
    </row>
    <row r="174" spans="4:5">
      <c r="D174" s="5"/>
      <c r="E174" s="5"/>
    </row>
    <row r="175" spans="4:5">
      <c r="D175" s="5"/>
      <c r="E175" s="5"/>
    </row>
    <row r="176" spans="4:5">
      <c r="D176" s="5"/>
      <c r="E176" s="5"/>
    </row>
    <row r="177" spans="4:5">
      <c r="D177" s="5"/>
      <c r="E177" s="5"/>
    </row>
    <row r="178" spans="4:5">
      <c r="D178" s="5"/>
      <c r="E178" s="5"/>
    </row>
    <row r="179" spans="4:5">
      <c r="D179" s="5"/>
      <c r="E179" s="5"/>
    </row>
    <row r="180" spans="4:5">
      <c r="D180" s="5"/>
      <c r="E180" s="5"/>
    </row>
    <row r="181" spans="4:5">
      <c r="D181" s="5"/>
      <c r="E181" s="5"/>
    </row>
    <row r="182" spans="4:5">
      <c r="D182" s="5"/>
      <c r="E182" s="5"/>
    </row>
    <row r="183" spans="4:5">
      <c r="D183" s="5"/>
      <c r="E183" s="5"/>
    </row>
    <row r="184" spans="4:5">
      <c r="D184" s="5"/>
      <c r="E184" s="5"/>
    </row>
    <row r="185" spans="4:5">
      <c r="D185" s="5"/>
      <c r="E185" s="5"/>
    </row>
    <row r="186" spans="4:5">
      <c r="D186" s="5"/>
      <c r="E186" s="5"/>
    </row>
    <row r="187" spans="4:5">
      <c r="D187" s="5"/>
      <c r="E187" s="5"/>
    </row>
    <row r="188" spans="4:5">
      <c r="D188" s="5"/>
      <c r="E188" s="5"/>
    </row>
    <row r="189" spans="4:5">
      <c r="D189" s="5"/>
      <c r="E189" s="5"/>
    </row>
    <row r="190" spans="4:5">
      <c r="D190" s="5"/>
      <c r="E190" s="5"/>
    </row>
    <row r="191" spans="4:5">
      <c r="D191" s="5"/>
      <c r="E191" s="5"/>
    </row>
    <row r="192" spans="4:5">
      <c r="D192" s="5"/>
      <c r="E192" s="5"/>
    </row>
    <row r="193" spans="4:5">
      <c r="D193" s="5"/>
      <c r="E193" s="5"/>
    </row>
    <row r="194" spans="4:5">
      <c r="D194" s="5"/>
      <c r="E194" s="5"/>
    </row>
    <row r="195" spans="4:5">
      <c r="D195" s="5"/>
      <c r="E195" s="5"/>
    </row>
    <row r="196" spans="4:5">
      <c r="D196" s="5"/>
      <c r="E196" s="5"/>
    </row>
    <row r="197" spans="4:5">
      <c r="D197" s="5"/>
      <c r="E197" s="5"/>
    </row>
    <row r="198" spans="4:5">
      <c r="D198" s="5"/>
      <c r="E198" s="5"/>
    </row>
    <row r="199" spans="4:5">
      <c r="D199" s="5"/>
      <c r="E199" s="5"/>
    </row>
    <row r="200" spans="4:5">
      <c r="D200" s="5"/>
      <c r="E200" s="5"/>
    </row>
    <row r="201" spans="4:5">
      <c r="D201" s="5"/>
      <c r="E201" s="5"/>
    </row>
    <row r="202" spans="4:5">
      <c r="D202" s="5"/>
      <c r="E202" s="5"/>
    </row>
    <row r="203" spans="4:5">
      <c r="D203" s="5"/>
      <c r="E203" s="5"/>
    </row>
    <row r="204" spans="4:5">
      <c r="D204" s="5"/>
      <c r="E204" s="5"/>
    </row>
    <row r="205" spans="4:5">
      <c r="D205" s="5"/>
      <c r="E205" s="5"/>
    </row>
    <row r="206" spans="4:5">
      <c r="D206" s="5"/>
      <c r="E206" s="5"/>
    </row>
    <row r="207" spans="4:5">
      <c r="D207" s="5"/>
      <c r="E207" s="5"/>
    </row>
    <row r="208" spans="4:5">
      <c r="D208" s="5"/>
      <c r="E208" s="5"/>
    </row>
    <row r="209" spans="4:5">
      <c r="D209" s="5"/>
      <c r="E209" s="5"/>
    </row>
    <row r="210" spans="4:5">
      <c r="D210" s="5"/>
      <c r="E210" s="5"/>
    </row>
    <row r="211" spans="4:5">
      <c r="D211" s="5"/>
      <c r="E211" s="5"/>
    </row>
    <row r="212" spans="4:5">
      <c r="D212" s="5"/>
      <c r="E212" s="5"/>
    </row>
    <row r="213" spans="4:5">
      <c r="D213" s="5"/>
      <c r="E213" s="5"/>
    </row>
    <row r="214" spans="4:5">
      <c r="D214" s="5"/>
      <c r="E214" s="5"/>
    </row>
    <row r="215" spans="4:5">
      <c r="D215" s="5"/>
      <c r="E215" s="5"/>
    </row>
    <row r="216" spans="4:5">
      <c r="D216" s="5"/>
      <c r="E216" s="5"/>
    </row>
    <row r="217" spans="4:5">
      <c r="D217" s="5"/>
      <c r="E217" s="5"/>
    </row>
    <row r="218" spans="4:5">
      <c r="D218" s="5"/>
      <c r="E218" s="5"/>
    </row>
    <row r="219" spans="4:5">
      <c r="D219" s="5"/>
      <c r="E219" s="5"/>
    </row>
    <row r="220" spans="4:5">
      <c r="D220" s="5"/>
      <c r="E220" s="5"/>
    </row>
    <row r="221" spans="4:5">
      <c r="D221" s="5"/>
      <c r="E221" s="5"/>
    </row>
    <row r="222" spans="4:5">
      <c r="D222" s="5"/>
      <c r="E222" s="5"/>
    </row>
    <row r="223" spans="4:5">
      <c r="D223" s="5"/>
      <c r="E223" s="5"/>
    </row>
    <row r="224" spans="4:5">
      <c r="D224" s="5"/>
      <c r="E224" s="5"/>
    </row>
    <row r="225" spans="4:5">
      <c r="D225" s="5"/>
      <c r="E225" s="5"/>
    </row>
    <row r="226" spans="4:5">
      <c r="D226" s="5"/>
      <c r="E226" s="5"/>
    </row>
    <row r="227" spans="4:5">
      <c r="D227" s="5"/>
      <c r="E227" s="5"/>
    </row>
    <row r="228" spans="4:5">
      <c r="D228" s="5"/>
      <c r="E228" s="5"/>
    </row>
    <row r="229" spans="4:5">
      <c r="D229" s="5"/>
      <c r="E229" s="5"/>
    </row>
    <row r="230" spans="4:5">
      <c r="D230" s="5"/>
      <c r="E230" s="5"/>
    </row>
    <row r="231" spans="4:5">
      <c r="D231" s="5"/>
      <c r="E231" s="5"/>
    </row>
    <row r="232" spans="4:5">
      <c r="D232" s="5"/>
      <c r="E232" s="5"/>
    </row>
    <row r="233" spans="4:5">
      <c r="D233" s="5"/>
      <c r="E233" s="5"/>
    </row>
    <row r="234" spans="4:5">
      <c r="D234" s="5"/>
      <c r="E234" s="5"/>
    </row>
    <row r="235" spans="4:5">
      <c r="D235" s="5"/>
      <c r="E235" s="5"/>
    </row>
    <row r="236" spans="4:5">
      <c r="D236" s="5"/>
      <c r="E236" s="5"/>
    </row>
    <row r="237" spans="4:5">
      <c r="D237" s="5"/>
      <c r="E237" s="5"/>
    </row>
    <row r="238" spans="4:5">
      <c r="D238" s="5"/>
      <c r="E238" s="5"/>
    </row>
    <row r="239" spans="4:5">
      <c r="D239" s="5"/>
      <c r="E239" s="5"/>
    </row>
    <row r="240" spans="4:5">
      <c r="D240" s="5"/>
      <c r="E240" s="5"/>
    </row>
    <row r="241" spans="4:5">
      <c r="D241" s="5"/>
      <c r="E241" s="5"/>
    </row>
    <row r="242" spans="4:5">
      <c r="D242" s="5"/>
      <c r="E242" s="5"/>
    </row>
    <row r="243" spans="4:5">
      <c r="D243" s="5"/>
      <c r="E243" s="5"/>
    </row>
    <row r="244" spans="4:5">
      <c r="D244" s="5"/>
      <c r="E244" s="5"/>
    </row>
    <row r="245" spans="4:5">
      <c r="D245" s="5"/>
      <c r="E245" s="5"/>
    </row>
    <row r="246" spans="4:5">
      <c r="D246" s="5"/>
      <c r="E246" s="5"/>
    </row>
    <row r="247" spans="4:5">
      <c r="D247" s="5"/>
      <c r="E247" s="5"/>
    </row>
    <row r="248" spans="4:5">
      <c r="D248" s="5"/>
      <c r="E248" s="5"/>
    </row>
    <row r="249" spans="4:5">
      <c r="D249" s="5"/>
      <c r="E249" s="5"/>
    </row>
    <row r="250" spans="4:5">
      <c r="D250" s="5"/>
      <c r="E250" s="5"/>
    </row>
    <row r="251" spans="4:5">
      <c r="D251" s="5"/>
      <c r="E251" s="5"/>
    </row>
    <row r="252" spans="4:5">
      <c r="D252" s="5"/>
      <c r="E252" s="5"/>
    </row>
    <row r="253" spans="4:5">
      <c r="D253" s="5"/>
      <c r="E253" s="5"/>
    </row>
    <row r="254" spans="4:5">
      <c r="D254" s="5"/>
      <c r="E254" s="5"/>
    </row>
    <row r="255" spans="4:5">
      <c r="D255" s="5"/>
      <c r="E255" s="5"/>
    </row>
    <row r="256" spans="4:5">
      <c r="D256" s="5"/>
      <c r="E256" s="5"/>
    </row>
    <row r="257" spans="4:5">
      <c r="D257" s="5"/>
      <c r="E257" s="5"/>
    </row>
    <row r="258" spans="4:5">
      <c r="D258" s="5"/>
      <c r="E258" s="5"/>
    </row>
    <row r="259" spans="4:5">
      <c r="D259" s="5"/>
      <c r="E259" s="5"/>
    </row>
    <row r="260" spans="4:5">
      <c r="D260" s="5"/>
      <c r="E260" s="5"/>
    </row>
    <row r="261" spans="4:5">
      <c r="D261" s="5"/>
      <c r="E261" s="5"/>
    </row>
    <row r="262" spans="4:5">
      <c r="D262" s="5"/>
      <c r="E262" s="5"/>
    </row>
    <row r="263" spans="4:5">
      <c r="D263" s="5"/>
      <c r="E263" s="5"/>
    </row>
    <row r="264" spans="4:5">
      <c r="D264" s="5"/>
      <c r="E264" s="5"/>
    </row>
    <row r="265" spans="4:5">
      <c r="D265" s="5"/>
      <c r="E265" s="5"/>
    </row>
    <row r="266" spans="4:5">
      <c r="D266" s="5"/>
      <c r="E266" s="5"/>
    </row>
    <row r="267" spans="4:5">
      <c r="D267" s="5"/>
      <c r="E267" s="5"/>
    </row>
    <row r="268" spans="4:5">
      <c r="D268" s="5"/>
      <c r="E268" s="5"/>
    </row>
    <row r="269" spans="4:5">
      <c r="D269" s="5"/>
      <c r="E269" s="5"/>
    </row>
    <row r="270" spans="4:5">
      <c r="D270" s="5"/>
      <c r="E270" s="5"/>
    </row>
    <row r="271" spans="4:5">
      <c r="D271" s="5"/>
      <c r="E271" s="5"/>
    </row>
    <row r="272" spans="4:5">
      <c r="D272" s="5"/>
      <c r="E272" s="5"/>
    </row>
    <row r="273" spans="4:5">
      <c r="D273" s="5"/>
      <c r="E273" s="5"/>
    </row>
    <row r="274" spans="4:5">
      <c r="D274" s="5"/>
      <c r="E274" s="5"/>
    </row>
    <row r="275" spans="4:5">
      <c r="D275" s="5"/>
      <c r="E275" s="5"/>
    </row>
    <row r="276" spans="4:5">
      <c r="D276" s="5"/>
      <c r="E276" s="5"/>
    </row>
    <row r="277" spans="4:5">
      <c r="D277" s="5"/>
      <c r="E277" s="5"/>
    </row>
    <row r="278" spans="4:5">
      <c r="D278" s="5"/>
      <c r="E278" s="5"/>
    </row>
    <row r="279" spans="4:5">
      <c r="D279" s="5"/>
      <c r="E279" s="5"/>
    </row>
    <row r="280" spans="4:5">
      <c r="D280" s="5"/>
      <c r="E280" s="5"/>
    </row>
    <row r="281" spans="4:5">
      <c r="D281" s="5"/>
      <c r="E281" s="5"/>
    </row>
    <row r="282" spans="4:5">
      <c r="D282" s="5"/>
      <c r="E282" s="5"/>
    </row>
    <row r="283" spans="4:5">
      <c r="D283" s="5"/>
      <c r="E283" s="5"/>
    </row>
    <row r="284" spans="4:5">
      <c r="D284" s="5"/>
      <c r="E284" s="5"/>
    </row>
    <row r="285" spans="4:5">
      <c r="D285" s="5"/>
      <c r="E285" s="5"/>
    </row>
    <row r="286" spans="4:5">
      <c r="D286" s="5"/>
      <c r="E286" s="5"/>
    </row>
    <row r="287" spans="4:5">
      <c r="D287" s="5"/>
      <c r="E287" s="5"/>
    </row>
    <row r="288" spans="4:5">
      <c r="D288" s="5"/>
      <c r="E288" s="5"/>
    </row>
    <row r="289" spans="4:5">
      <c r="D289" s="5"/>
      <c r="E289" s="5"/>
    </row>
    <row r="290" spans="4:5">
      <c r="D290" s="5"/>
      <c r="E290" s="5"/>
    </row>
    <row r="291" spans="4:5">
      <c r="D291" s="5"/>
      <c r="E291" s="5"/>
    </row>
    <row r="292" spans="4:5">
      <c r="D292" s="5"/>
      <c r="E292" s="5"/>
    </row>
    <row r="293" spans="4:5">
      <c r="D293" s="5"/>
      <c r="E293" s="5"/>
    </row>
    <row r="294" spans="4:5">
      <c r="D294" s="5"/>
      <c r="E294" s="5"/>
    </row>
    <row r="295" spans="4:5">
      <c r="D295" s="5"/>
      <c r="E295" s="5"/>
    </row>
    <row r="296" spans="4:5">
      <c r="D296" s="5"/>
      <c r="E296" s="5"/>
    </row>
    <row r="297" spans="4:5">
      <c r="D297" s="5"/>
      <c r="E297" s="5"/>
    </row>
    <row r="298" spans="4:5">
      <c r="D298" s="5"/>
      <c r="E298" s="5"/>
    </row>
    <row r="299" spans="4:5">
      <c r="D299" s="5"/>
      <c r="E299" s="5"/>
    </row>
    <row r="300" spans="4:5">
      <c r="D300" s="5"/>
      <c r="E300" s="5"/>
    </row>
    <row r="301" spans="4:5">
      <c r="D301" s="5"/>
      <c r="E301" s="5"/>
    </row>
    <row r="302" spans="4:5">
      <c r="D302" s="5"/>
      <c r="E302" s="5"/>
    </row>
    <row r="303" spans="4:5">
      <c r="D303" s="5"/>
      <c r="E303" s="5"/>
    </row>
    <row r="304" spans="4:5">
      <c r="D304" s="5"/>
      <c r="E304" s="5"/>
    </row>
    <row r="305" spans="4:5">
      <c r="D305" s="5"/>
      <c r="E305" s="5"/>
    </row>
    <row r="306" spans="4:5">
      <c r="D306" s="5"/>
      <c r="E306" s="5"/>
    </row>
    <row r="307" spans="4:5">
      <c r="D307" s="5"/>
      <c r="E307" s="5"/>
    </row>
    <row r="308" spans="4:5">
      <c r="D308" s="5"/>
      <c r="E308" s="5"/>
    </row>
    <row r="309" spans="4:5">
      <c r="D309" s="5"/>
      <c r="E309" s="5"/>
    </row>
    <row r="310" spans="4:5">
      <c r="D310" s="5"/>
      <c r="E310" s="5"/>
    </row>
    <row r="311" spans="4:5">
      <c r="D311" s="5"/>
      <c r="E311" s="5"/>
    </row>
    <row r="312" spans="4:5">
      <c r="D312" s="5"/>
      <c r="E312" s="5"/>
    </row>
    <row r="313" spans="4:5">
      <c r="D313" s="5"/>
      <c r="E313" s="5"/>
    </row>
    <row r="314" spans="4:5">
      <c r="D314" s="5"/>
      <c r="E314" s="5"/>
    </row>
    <row r="315" spans="4:5">
      <c r="D315" s="5"/>
      <c r="E315" s="5"/>
    </row>
    <row r="316" spans="4:5">
      <c r="D316" s="5"/>
      <c r="E316" s="5"/>
    </row>
    <row r="317" spans="4:5">
      <c r="D317" s="5"/>
      <c r="E317" s="5"/>
    </row>
    <row r="318" spans="4:5">
      <c r="D318" s="5"/>
      <c r="E318" s="5"/>
    </row>
    <row r="319" spans="4:5">
      <c r="D319" s="5"/>
      <c r="E319" s="5"/>
    </row>
    <row r="320" spans="4:5">
      <c r="D320" s="5"/>
      <c r="E320" s="5"/>
    </row>
    <row r="321" spans="4:5">
      <c r="D321" s="5"/>
      <c r="E321" s="5"/>
    </row>
    <row r="322" spans="4:5">
      <c r="D322" s="5"/>
      <c r="E322" s="5"/>
    </row>
    <row r="323" spans="4:5">
      <c r="D323" s="5"/>
      <c r="E323" s="5"/>
    </row>
    <row r="324" spans="4:5">
      <c r="D324" s="5"/>
      <c r="E324" s="5"/>
    </row>
    <row r="325" spans="4:5">
      <c r="D325" s="5"/>
      <c r="E325" s="5"/>
    </row>
    <row r="326" spans="4:5">
      <c r="D326" s="5"/>
      <c r="E326" s="5"/>
    </row>
    <row r="327" spans="4:5">
      <c r="D327" s="5"/>
      <c r="E327" s="5"/>
    </row>
    <row r="328" spans="4:5">
      <c r="D328" s="5"/>
      <c r="E328" s="5"/>
    </row>
    <row r="329" spans="4:5">
      <c r="D329" s="5"/>
      <c r="E329" s="5"/>
    </row>
    <row r="330" spans="4:5">
      <c r="D330" s="5"/>
      <c r="E330" s="5"/>
    </row>
    <row r="331" spans="4:5">
      <c r="D331" s="5"/>
      <c r="E331" s="5"/>
    </row>
    <row r="332" spans="4:5">
      <c r="D332" s="5"/>
      <c r="E332" s="5"/>
    </row>
    <row r="333" spans="4:5">
      <c r="D333" s="5"/>
      <c r="E333" s="5"/>
    </row>
    <row r="334" spans="4:5">
      <c r="D334" s="5"/>
      <c r="E334" s="5"/>
    </row>
    <row r="335" spans="4:5">
      <c r="D335" s="5"/>
      <c r="E335" s="5"/>
    </row>
    <row r="336" spans="4:5">
      <c r="D336" s="5"/>
      <c r="E336" s="5"/>
    </row>
    <row r="337" spans="4:5">
      <c r="D337" s="5"/>
      <c r="E337" s="5"/>
    </row>
    <row r="338" spans="4:5">
      <c r="D338" s="5"/>
      <c r="E338" s="5"/>
    </row>
    <row r="339" spans="4:5">
      <c r="D339" s="5"/>
      <c r="E339" s="5"/>
    </row>
    <row r="340" spans="4:5">
      <c r="D340" s="5"/>
      <c r="E340" s="5"/>
    </row>
    <row r="341" spans="4:5">
      <c r="D341" s="5"/>
      <c r="E341" s="5"/>
    </row>
    <row r="342" spans="4:5">
      <c r="D342" s="5"/>
      <c r="E342" s="5"/>
    </row>
    <row r="343" spans="4:5">
      <c r="D343" s="5"/>
      <c r="E343" s="5"/>
    </row>
    <row r="344" spans="4:5">
      <c r="D344" s="5"/>
      <c r="E344" s="5"/>
    </row>
    <row r="345" spans="4:5">
      <c r="D345" s="5"/>
      <c r="E345" s="5"/>
    </row>
    <row r="346" spans="4:5">
      <c r="D346" s="5"/>
      <c r="E346" s="5"/>
    </row>
    <row r="347" spans="4:5">
      <c r="D347" s="5"/>
      <c r="E347" s="5"/>
    </row>
    <row r="348" spans="4:5">
      <c r="D348" s="5"/>
      <c r="E348" s="5"/>
    </row>
    <row r="349" spans="4:5">
      <c r="D349" s="5"/>
      <c r="E349" s="5"/>
    </row>
    <row r="350" spans="4:5">
      <c r="D350" s="5"/>
      <c r="E350" s="5"/>
    </row>
    <row r="351" spans="4:5">
      <c r="D351" s="5"/>
      <c r="E351" s="5"/>
    </row>
    <row r="352" spans="4:5">
      <c r="D352" s="5"/>
      <c r="E352" s="5"/>
    </row>
    <row r="353" spans="4:5">
      <c r="D353" s="5"/>
      <c r="E353" s="5"/>
    </row>
    <row r="354" spans="4:5">
      <c r="D354" s="5"/>
      <c r="E354" s="5"/>
    </row>
    <row r="355" spans="4:5">
      <c r="D355" s="5"/>
      <c r="E355" s="5"/>
    </row>
    <row r="356" spans="4:5">
      <c r="D356" s="5"/>
      <c r="E356" s="5"/>
    </row>
    <row r="357" spans="4:5">
      <c r="D357" s="5"/>
      <c r="E357" s="5"/>
    </row>
    <row r="358" spans="4:5">
      <c r="D358" s="5"/>
      <c r="E358" s="5"/>
    </row>
    <row r="359" spans="4:5">
      <c r="D359" s="5"/>
      <c r="E359" s="5"/>
    </row>
    <row r="360" spans="4:5">
      <c r="D360" s="5"/>
      <c r="E360" s="5"/>
    </row>
    <row r="361" spans="4:5">
      <c r="D361" s="5"/>
      <c r="E361" s="5"/>
    </row>
    <row r="362" spans="4:5">
      <c r="D362" s="5"/>
      <c r="E362" s="5"/>
    </row>
    <row r="363" spans="4:5">
      <c r="D363" s="5"/>
      <c r="E363" s="5"/>
    </row>
    <row r="364" spans="4:5">
      <c r="D364" s="5"/>
      <c r="E364" s="5"/>
    </row>
    <row r="365" spans="4:5">
      <c r="D365" s="5"/>
      <c r="E365" s="5"/>
    </row>
    <row r="366" spans="4:5">
      <c r="D366" s="5"/>
      <c r="E366" s="5"/>
    </row>
    <row r="367" spans="4:5">
      <c r="D367" s="5"/>
      <c r="E367" s="5"/>
    </row>
    <row r="368" spans="4:5">
      <c r="D368" s="5"/>
      <c r="E368" s="5"/>
    </row>
    <row r="369" spans="4:5">
      <c r="D369" s="5"/>
      <c r="E369" s="5"/>
    </row>
    <row r="370" spans="4:5">
      <c r="D370" s="5"/>
      <c r="E370" s="5"/>
    </row>
    <row r="371" spans="4:5">
      <c r="D371" s="5"/>
      <c r="E371" s="5"/>
    </row>
    <row r="372" spans="4:5">
      <c r="D372" s="5"/>
      <c r="E372" s="5"/>
    </row>
    <row r="373" spans="4:5">
      <c r="D373" s="5"/>
      <c r="E373" s="5"/>
    </row>
    <row r="374" spans="4:5">
      <c r="D374" s="5"/>
      <c r="E374" s="5"/>
    </row>
    <row r="375" spans="4:5">
      <c r="D375" s="5"/>
      <c r="E375" s="5"/>
    </row>
    <row r="376" spans="4:5">
      <c r="D376" s="5"/>
      <c r="E376" s="5"/>
    </row>
    <row r="377" spans="4:5">
      <c r="D377" s="5"/>
      <c r="E377" s="5"/>
    </row>
    <row r="378" spans="4:5">
      <c r="D378" s="5"/>
      <c r="E378" s="5"/>
    </row>
    <row r="379" spans="4:5">
      <c r="D379" s="5"/>
      <c r="E379" s="5"/>
    </row>
    <row r="380" spans="4:5">
      <c r="D380" s="5"/>
      <c r="E380" s="5"/>
    </row>
    <row r="381" spans="4:5">
      <c r="D381" s="5"/>
      <c r="E381" s="5"/>
    </row>
    <row r="382" spans="4:5">
      <c r="D382" s="5"/>
      <c r="E382" s="5"/>
    </row>
    <row r="383" spans="4:5">
      <c r="D383" s="5"/>
      <c r="E383" s="5"/>
    </row>
    <row r="384" spans="4:5">
      <c r="D384" s="5"/>
      <c r="E384" s="5"/>
    </row>
    <row r="385" spans="4:5">
      <c r="D385" s="5"/>
      <c r="E385" s="5"/>
    </row>
    <row r="386" spans="4:5">
      <c r="D386" s="5"/>
      <c r="E386" s="5"/>
    </row>
    <row r="387" spans="4:5">
      <c r="D387" s="5"/>
      <c r="E387" s="5"/>
    </row>
    <row r="388" spans="4:5">
      <c r="D388" s="5"/>
      <c r="E388" s="5"/>
    </row>
    <row r="389" spans="4:5">
      <c r="D389" s="5"/>
      <c r="E389" s="5"/>
    </row>
    <row r="390" spans="4:5">
      <c r="D390" s="5"/>
      <c r="E390" s="5"/>
    </row>
    <row r="391" spans="4:5">
      <c r="D391" s="5"/>
      <c r="E391" s="5"/>
    </row>
    <row r="392" spans="4:5">
      <c r="D392" s="5"/>
      <c r="E392" s="5"/>
    </row>
    <row r="393" spans="4:5">
      <c r="D393" s="5"/>
      <c r="E393" s="5"/>
    </row>
    <row r="394" spans="4:5">
      <c r="D394" s="5"/>
      <c r="E394" s="5"/>
    </row>
    <row r="395" spans="4:5">
      <c r="D395" s="5"/>
      <c r="E395" s="5"/>
    </row>
    <row r="396" spans="4:5">
      <c r="D396" s="5"/>
      <c r="E396" s="5"/>
    </row>
  </sheetData>
  <mergeCells count="4">
    <mergeCell ref="A4:R4"/>
    <mergeCell ref="A5:R5"/>
    <mergeCell ref="A6:R6"/>
    <mergeCell ref="A7:R7"/>
  </mergeCells>
  <phoneticPr fontId="5" type="noConversion"/>
  <pageMargins left="0.75" right="0.75" top="1" bottom="1" header="0.5" footer="0.5"/>
  <pageSetup scale="52" orientation="landscape" r:id="rId1"/>
  <headerFooter alignWithMargins="0"/>
  <ignoredErrors>
    <ignoredError sqref="P15:P21 P26:P36 P39:P45 P51:P62" formulaRange="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indexed="17"/>
    <pageSetUpPr fitToPage="1"/>
  </sheetPr>
  <dimension ref="A1:T396"/>
  <sheetViews>
    <sheetView zoomScale="80" zoomScaleNormal="80" workbookViewId="0">
      <selection activeCell="A4" sqref="A4:R4"/>
    </sheetView>
  </sheetViews>
  <sheetFormatPr defaultRowHeight="12.75"/>
  <cols>
    <col min="1" max="1" width="4.42578125" bestFit="1" customWidth="1"/>
    <col min="2" max="2" width="38.140625" bestFit="1" customWidth="1"/>
    <col min="3" max="3" width="11.85546875" style="14" bestFit="1" customWidth="1"/>
    <col min="4" max="4" width="12.5703125" bestFit="1" customWidth="1"/>
    <col min="5" max="6" width="10.28515625" bestFit="1" customWidth="1"/>
    <col min="7" max="7" width="10.85546875" bestFit="1" customWidth="1"/>
    <col min="8" max="8" width="10.28515625" bestFit="1" customWidth="1"/>
    <col min="9" max="9" width="11.28515625" bestFit="1" customWidth="1"/>
    <col min="10" max="10" width="10.85546875" bestFit="1" customWidth="1"/>
    <col min="11" max="11" width="11.28515625" bestFit="1" customWidth="1"/>
    <col min="12" max="12" width="10.85546875" bestFit="1" customWidth="1"/>
    <col min="13" max="14" width="12.5703125" bestFit="1" customWidth="1"/>
    <col min="15" max="15" width="14.7109375" bestFit="1" customWidth="1"/>
    <col min="16" max="16" width="12.28515625" bestFit="1" customWidth="1"/>
    <col min="17" max="17" width="11.5703125" style="72" customWidth="1"/>
    <col min="18" max="18" width="11.85546875" bestFit="1" customWidth="1"/>
    <col min="20" max="20" width="9.28515625" bestFit="1" customWidth="1"/>
  </cols>
  <sheetData>
    <row r="1" spans="1:18">
      <c r="Q1" s="72" t="str">
        <f>A!D1</f>
        <v>Docket No. RP16-299-000</v>
      </c>
    </row>
    <row r="2" spans="1:18">
      <c r="Q2" s="72" t="s">
        <v>168</v>
      </c>
    </row>
    <row r="3" spans="1:18">
      <c r="Q3" s="72" t="s">
        <v>67</v>
      </c>
    </row>
    <row r="4" spans="1:18">
      <c r="A4" s="929" t="str">
        <f>+'H-1'!A4:R4</f>
        <v>Tuscarora Gas Transmission Company</v>
      </c>
      <c r="B4" s="927"/>
      <c r="C4" s="927"/>
      <c r="D4" s="927"/>
      <c r="E4" s="927"/>
      <c r="F4" s="927"/>
      <c r="G4" s="927"/>
      <c r="H4" s="927"/>
      <c r="I4" s="927"/>
      <c r="J4" s="927"/>
      <c r="K4" s="927"/>
      <c r="L4" s="927"/>
      <c r="M4" s="927"/>
      <c r="N4" s="927"/>
      <c r="O4" s="927"/>
      <c r="P4" s="927"/>
      <c r="Q4" s="927"/>
      <c r="R4" s="927"/>
    </row>
    <row r="5" spans="1:18">
      <c r="A5" s="927" t="s">
        <v>324</v>
      </c>
      <c r="B5" s="927"/>
      <c r="C5" s="927"/>
      <c r="D5" s="927"/>
      <c r="E5" s="927"/>
      <c r="F5" s="927"/>
      <c r="G5" s="927"/>
      <c r="H5" s="927"/>
      <c r="I5" s="927"/>
      <c r="J5" s="927"/>
      <c r="K5" s="927"/>
      <c r="L5" s="927"/>
      <c r="M5" s="927"/>
      <c r="N5" s="927"/>
      <c r="O5" s="927"/>
      <c r="P5" s="927"/>
      <c r="Q5" s="927"/>
      <c r="R5" s="927"/>
    </row>
    <row r="6" spans="1:18">
      <c r="A6" s="928" t="s">
        <v>167</v>
      </c>
      <c r="B6" s="928"/>
      <c r="C6" s="928"/>
      <c r="D6" s="928"/>
      <c r="E6" s="928"/>
      <c r="F6" s="928"/>
      <c r="G6" s="928"/>
      <c r="H6" s="928"/>
      <c r="I6" s="928"/>
      <c r="J6" s="928"/>
      <c r="K6" s="928"/>
      <c r="L6" s="928"/>
      <c r="M6" s="928"/>
      <c r="N6" s="928"/>
      <c r="O6" s="928"/>
      <c r="P6" s="928"/>
      <c r="Q6" s="928"/>
      <c r="R6" s="928"/>
    </row>
    <row r="7" spans="1:18">
      <c r="A7" s="929" t="str">
        <f>'Title Input and Macros'!B9</f>
        <v>For the Twelve Months Ended December 31, 2015, As Adjusted</v>
      </c>
      <c r="B7" s="929"/>
      <c r="C7" s="929"/>
      <c r="D7" s="929"/>
      <c r="E7" s="929"/>
      <c r="F7" s="929"/>
      <c r="G7" s="929"/>
      <c r="H7" s="929"/>
      <c r="I7" s="929"/>
      <c r="J7" s="929"/>
      <c r="K7" s="929"/>
      <c r="L7" s="929"/>
      <c r="M7" s="929"/>
      <c r="N7" s="929"/>
      <c r="O7" s="929"/>
      <c r="P7" s="929"/>
      <c r="Q7" s="929"/>
      <c r="R7" s="929"/>
    </row>
    <row r="8" spans="1:18">
      <c r="A8" s="43"/>
      <c r="B8" s="43"/>
      <c r="C8" s="43"/>
      <c r="D8" s="43"/>
      <c r="E8" s="43"/>
      <c r="F8" s="43"/>
      <c r="G8" s="43"/>
      <c r="H8" s="43"/>
      <c r="I8" s="43"/>
      <c r="J8" s="43"/>
      <c r="K8" s="43"/>
      <c r="L8" s="43"/>
      <c r="M8" s="43"/>
      <c r="N8" s="43"/>
      <c r="O8" s="43"/>
      <c r="P8" s="43"/>
      <c r="Q8" s="43"/>
      <c r="R8" s="43"/>
    </row>
    <row r="9" spans="1:18" s="2" customFormat="1">
      <c r="C9" s="14"/>
      <c r="Q9" s="132"/>
    </row>
    <row r="10" spans="1:18">
      <c r="A10" s="2" t="s">
        <v>352</v>
      </c>
      <c r="B10" s="2"/>
      <c r="C10" s="14" t="s">
        <v>394</v>
      </c>
      <c r="D10" s="2"/>
      <c r="E10" s="2"/>
      <c r="F10" s="2"/>
      <c r="G10" s="2"/>
      <c r="H10" s="2"/>
      <c r="I10" s="2"/>
      <c r="J10" s="2"/>
      <c r="K10" s="2"/>
      <c r="L10" s="2"/>
      <c r="M10" s="2"/>
      <c r="N10" s="2"/>
      <c r="O10" s="2"/>
      <c r="P10" s="2"/>
      <c r="Q10" s="132"/>
      <c r="R10" s="2" t="s">
        <v>326</v>
      </c>
    </row>
    <row r="11" spans="1:18">
      <c r="A11" s="3" t="s">
        <v>353</v>
      </c>
      <c r="B11" s="3" t="s">
        <v>354</v>
      </c>
      <c r="C11" s="15" t="s">
        <v>353</v>
      </c>
      <c r="D11" s="3" t="str">
        <f>'Title Input and Macros'!$B16</f>
        <v>January</v>
      </c>
      <c r="E11" s="3" t="str">
        <f>'Title Input and Macros'!$B17</f>
        <v>February</v>
      </c>
      <c r="F11" s="3" t="str">
        <f>'Title Input and Macros'!$B18</f>
        <v>March</v>
      </c>
      <c r="G11" s="3" t="str">
        <f>'Title Input and Macros'!$B19</f>
        <v>April</v>
      </c>
      <c r="H11" s="3" t="str">
        <f>'Title Input and Macros'!$B20</f>
        <v>May</v>
      </c>
      <c r="I11" s="3" t="str">
        <f>'Title Input and Macros'!$B21</f>
        <v>June</v>
      </c>
      <c r="J11" s="3" t="str">
        <f>'Title Input and Macros'!$B22</f>
        <v>July</v>
      </c>
      <c r="K11" s="3" t="str">
        <f>'Title Input and Macros'!$B23</f>
        <v>August</v>
      </c>
      <c r="L11" s="3" t="str">
        <f>'Title Input and Macros'!$B24</f>
        <v>September</v>
      </c>
      <c r="M11" s="3" t="str">
        <f>'Title Input and Macros'!$B25</f>
        <v>October</v>
      </c>
      <c r="N11" s="3" t="str">
        <f>'Title Input and Macros'!$B26</f>
        <v>November</v>
      </c>
      <c r="O11" s="3" t="str">
        <f>'Title Input and Macros'!$B27</f>
        <v>December</v>
      </c>
      <c r="P11" s="3" t="s">
        <v>38</v>
      </c>
      <c r="Q11" s="149" t="s">
        <v>401</v>
      </c>
      <c r="R11" s="3" t="s">
        <v>402</v>
      </c>
    </row>
    <row r="12" spans="1:18">
      <c r="B12" s="2" t="s">
        <v>361</v>
      </c>
      <c r="C12" s="14" t="s">
        <v>362</v>
      </c>
      <c r="D12" s="2" t="s">
        <v>366</v>
      </c>
      <c r="E12" s="2" t="s">
        <v>363</v>
      </c>
      <c r="F12" s="2" t="s">
        <v>364</v>
      </c>
      <c r="G12" s="2" t="s">
        <v>379</v>
      </c>
      <c r="H12" s="2" t="s">
        <v>380</v>
      </c>
      <c r="I12" s="2" t="s">
        <v>403</v>
      </c>
      <c r="J12" s="2" t="s">
        <v>404</v>
      </c>
      <c r="K12" s="2" t="s">
        <v>351</v>
      </c>
      <c r="L12" s="2" t="s">
        <v>250</v>
      </c>
      <c r="M12" s="2" t="s">
        <v>254</v>
      </c>
      <c r="N12" s="2" t="s">
        <v>313</v>
      </c>
      <c r="O12" s="2" t="s">
        <v>314</v>
      </c>
      <c r="P12" s="2" t="s">
        <v>315</v>
      </c>
      <c r="Q12" s="132" t="s">
        <v>316</v>
      </c>
      <c r="R12" s="2" t="s">
        <v>317</v>
      </c>
    </row>
    <row r="13" spans="1:18">
      <c r="A13">
        <v>1</v>
      </c>
      <c r="B13" s="42" t="s">
        <v>725</v>
      </c>
      <c r="C13" s="2"/>
      <c r="D13" s="2"/>
      <c r="E13" s="2"/>
      <c r="F13" s="2"/>
      <c r="G13" s="2"/>
      <c r="H13" s="2"/>
      <c r="I13" s="2"/>
      <c r="J13" s="2"/>
      <c r="K13" s="2"/>
      <c r="L13" s="2"/>
      <c r="M13" s="2"/>
      <c r="N13" s="2"/>
      <c r="O13" s="2"/>
      <c r="P13" s="2"/>
      <c r="Q13" s="132"/>
      <c r="R13" s="2"/>
    </row>
    <row r="14" spans="1:18">
      <c r="A14">
        <v>2</v>
      </c>
      <c r="B14" s="42" t="s">
        <v>171</v>
      </c>
      <c r="C14" s="2"/>
      <c r="D14" s="2"/>
      <c r="E14" s="2"/>
      <c r="F14" s="2"/>
      <c r="G14" s="2"/>
      <c r="H14" s="2"/>
      <c r="I14" s="2"/>
      <c r="J14" s="2"/>
      <c r="K14" s="2"/>
      <c r="L14" s="2"/>
      <c r="M14" s="2"/>
      <c r="N14" s="2"/>
      <c r="O14" s="2"/>
      <c r="P14" s="2"/>
      <c r="Q14" s="132"/>
      <c r="R14" s="2"/>
    </row>
    <row r="15" spans="1:18">
      <c r="A15">
        <v>3</v>
      </c>
      <c r="B15" s="507" t="s">
        <v>726</v>
      </c>
      <c r="C15" s="508">
        <v>805</v>
      </c>
      <c r="D15" s="509">
        <v>0</v>
      </c>
      <c r="E15" s="509">
        <v>0</v>
      </c>
      <c r="F15" s="509">
        <v>0</v>
      </c>
      <c r="G15" s="509">
        <v>0</v>
      </c>
      <c r="H15" s="509">
        <v>0</v>
      </c>
      <c r="I15" s="509">
        <v>0</v>
      </c>
      <c r="J15" s="509">
        <v>0</v>
      </c>
      <c r="K15" s="509">
        <v>0</v>
      </c>
      <c r="L15" s="509">
        <v>0</v>
      </c>
      <c r="M15" s="509">
        <v>0</v>
      </c>
      <c r="N15" s="509">
        <v>0</v>
      </c>
      <c r="O15" s="509">
        <v>0</v>
      </c>
      <c r="P15" s="510">
        <f>SUM(D15:O15)</f>
        <v>0</v>
      </c>
      <c r="Q15" s="514">
        <v>0</v>
      </c>
      <c r="R15" s="510">
        <f t="shared" ref="R15:R21" si="0">+P15+Q15</f>
        <v>0</v>
      </c>
    </row>
    <row r="16" spans="1:18">
      <c r="A16">
        <v>4</v>
      </c>
      <c r="B16" s="507" t="s">
        <v>727</v>
      </c>
      <c r="C16" s="508">
        <v>806</v>
      </c>
      <c r="D16" s="509">
        <v>0</v>
      </c>
      <c r="E16" s="509">
        <v>0</v>
      </c>
      <c r="F16" s="509">
        <v>0</v>
      </c>
      <c r="G16" s="509">
        <v>0</v>
      </c>
      <c r="H16" s="509">
        <v>0</v>
      </c>
      <c r="I16" s="509">
        <v>0</v>
      </c>
      <c r="J16" s="509">
        <v>0</v>
      </c>
      <c r="K16" s="509">
        <v>0</v>
      </c>
      <c r="L16" s="509">
        <v>0</v>
      </c>
      <c r="M16" s="509">
        <v>0</v>
      </c>
      <c r="N16" s="509">
        <v>0</v>
      </c>
      <c r="O16" s="509">
        <v>0</v>
      </c>
      <c r="P16" s="510">
        <f t="shared" ref="P16:P21" si="1">SUM(D16:O16)</f>
        <v>0</v>
      </c>
      <c r="Q16" s="514">
        <v>0</v>
      </c>
      <c r="R16" s="510">
        <f t="shared" si="0"/>
        <v>0</v>
      </c>
    </row>
    <row r="17" spans="1:18">
      <c r="A17">
        <v>5</v>
      </c>
      <c r="B17" s="507" t="s">
        <v>728</v>
      </c>
      <c r="C17" s="508">
        <v>808.1</v>
      </c>
      <c r="D17" s="509">
        <v>0</v>
      </c>
      <c r="E17" s="509">
        <v>0</v>
      </c>
      <c r="F17" s="509">
        <v>0</v>
      </c>
      <c r="G17" s="509">
        <v>0</v>
      </c>
      <c r="H17" s="509">
        <v>0</v>
      </c>
      <c r="I17" s="509">
        <v>0</v>
      </c>
      <c r="J17" s="509">
        <v>0</v>
      </c>
      <c r="K17" s="509">
        <v>0</v>
      </c>
      <c r="L17" s="509">
        <v>0</v>
      </c>
      <c r="M17" s="509">
        <v>0</v>
      </c>
      <c r="N17" s="509">
        <v>0</v>
      </c>
      <c r="O17" s="509">
        <v>0</v>
      </c>
      <c r="P17" s="510">
        <f t="shared" si="1"/>
        <v>0</v>
      </c>
      <c r="Q17" s="514">
        <v>0</v>
      </c>
      <c r="R17" s="510">
        <f t="shared" si="0"/>
        <v>0</v>
      </c>
    </row>
    <row r="18" spans="1:18">
      <c r="A18">
        <v>6</v>
      </c>
      <c r="B18" s="507" t="s">
        <v>729</v>
      </c>
      <c r="C18" s="508">
        <v>808.2</v>
      </c>
      <c r="D18" s="509">
        <v>0</v>
      </c>
      <c r="E18" s="509">
        <v>0</v>
      </c>
      <c r="F18" s="509">
        <v>0</v>
      </c>
      <c r="G18" s="509">
        <v>0</v>
      </c>
      <c r="H18" s="509">
        <v>0</v>
      </c>
      <c r="I18" s="509">
        <v>0</v>
      </c>
      <c r="J18" s="509">
        <v>0</v>
      </c>
      <c r="K18" s="509">
        <v>0</v>
      </c>
      <c r="L18" s="509">
        <v>0</v>
      </c>
      <c r="M18" s="509">
        <v>0</v>
      </c>
      <c r="N18" s="509">
        <v>0</v>
      </c>
      <c r="O18" s="509">
        <v>0</v>
      </c>
      <c r="P18" s="510">
        <f t="shared" si="1"/>
        <v>0</v>
      </c>
      <c r="Q18" s="514">
        <v>0</v>
      </c>
      <c r="R18" s="510">
        <f t="shared" si="0"/>
        <v>0</v>
      </c>
    </row>
    <row r="19" spans="1:18">
      <c r="A19">
        <v>7</v>
      </c>
      <c r="B19" s="507" t="s">
        <v>730</v>
      </c>
      <c r="C19" s="508">
        <v>810</v>
      </c>
      <c r="D19" s="509">
        <v>0</v>
      </c>
      <c r="E19" s="509">
        <v>0</v>
      </c>
      <c r="F19" s="509">
        <v>0</v>
      </c>
      <c r="G19" s="509">
        <v>0</v>
      </c>
      <c r="H19" s="509">
        <v>0</v>
      </c>
      <c r="I19" s="509">
        <v>0</v>
      </c>
      <c r="J19" s="509">
        <v>0</v>
      </c>
      <c r="K19" s="509">
        <v>0</v>
      </c>
      <c r="L19" s="509">
        <v>0</v>
      </c>
      <c r="M19" s="509">
        <v>0</v>
      </c>
      <c r="N19" s="509">
        <v>0</v>
      </c>
      <c r="O19" s="509">
        <v>0</v>
      </c>
      <c r="P19" s="510">
        <f t="shared" si="1"/>
        <v>0</v>
      </c>
      <c r="Q19" s="514">
        <v>0</v>
      </c>
      <c r="R19" s="510">
        <f t="shared" si="0"/>
        <v>0</v>
      </c>
    </row>
    <row r="20" spans="1:18">
      <c r="A20">
        <v>8</v>
      </c>
      <c r="B20" s="507" t="s">
        <v>731</v>
      </c>
      <c r="C20" s="508">
        <v>812</v>
      </c>
      <c r="D20" s="509">
        <v>0</v>
      </c>
      <c r="E20" s="509">
        <v>0</v>
      </c>
      <c r="F20" s="509">
        <v>0</v>
      </c>
      <c r="G20" s="509">
        <v>0</v>
      </c>
      <c r="H20" s="509">
        <v>0</v>
      </c>
      <c r="I20" s="509">
        <v>0</v>
      </c>
      <c r="J20" s="509">
        <v>0</v>
      </c>
      <c r="K20" s="509">
        <v>0</v>
      </c>
      <c r="L20" s="509">
        <v>0</v>
      </c>
      <c r="M20" s="509">
        <v>0</v>
      </c>
      <c r="N20" s="509">
        <v>0</v>
      </c>
      <c r="O20" s="509">
        <v>0</v>
      </c>
      <c r="P20" s="510">
        <f t="shared" si="1"/>
        <v>0</v>
      </c>
      <c r="Q20" s="514">
        <v>0</v>
      </c>
      <c r="R20" s="510">
        <f t="shared" si="0"/>
        <v>0</v>
      </c>
    </row>
    <row r="21" spans="1:18">
      <c r="A21">
        <v>9</v>
      </c>
      <c r="B21" s="507" t="s">
        <v>171</v>
      </c>
      <c r="C21" s="508">
        <v>813</v>
      </c>
      <c r="D21" s="509">
        <v>0</v>
      </c>
      <c r="E21" s="509">
        <v>0</v>
      </c>
      <c r="F21" s="509">
        <v>0</v>
      </c>
      <c r="G21" s="509">
        <v>0</v>
      </c>
      <c r="H21" s="509">
        <v>0</v>
      </c>
      <c r="I21" s="509">
        <v>0</v>
      </c>
      <c r="J21" s="509">
        <v>0</v>
      </c>
      <c r="K21" s="509">
        <v>0</v>
      </c>
      <c r="L21" s="509">
        <v>0</v>
      </c>
      <c r="M21" s="509">
        <v>0</v>
      </c>
      <c r="N21" s="509">
        <v>0</v>
      </c>
      <c r="O21" s="509">
        <v>0</v>
      </c>
      <c r="P21" s="510">
        <f t="shared" si="1"/>
        <v>0</v>
      </c>
      <c r="Q21" s="471">
        <v>0</v>
      </c>
      <c r="R21" s="510">
        <f t="shared" si="0"/>
        <v>0</v>
      </c>
    </row>
    <row r="22" spans="1:18" ht="13.5" thickBot="1">
      <c r="A22">
        <v>10</v>
      </c>
      <c r="B22" s="42" t="s">
        <v>173</v>
      </c>
      <c r="C22" s="2"/>
      <c r="D22" s="512">
        <f>SUM(D15:D21)</f>
        <v>0</v>
      </c>
      <c r="E22" s="512">
        <f t="shared" ref="E22:R22" si="2">SUM(E15:E21)</f>
        <v>0</v>
      </c>
      <c r="F22" s="512">
        <f t="shared" si="2"/>
        <v>0</v>
      </c>
      <c r="G22" s="512">
        <f t="shared" si="2"/>
        <v>0</v>
      </c>
      <c r="H22" s="512">
        <f t="shared" si="2"/>
        <v>0</v>
      </c>
      <c r="I22" s="512">
        <f t="shared" si="2"/>
        <v>0</v>
      </c>
      <c r="J22" s="512">
        <f t="shared" si="2"/>
        <v>0</v>
      </c>
      <c r="K22" s="512">
        <f t="shared" si="2"/>
        <v>0</v>
      </c>
      <c r="L22" s="512">
        <f t="shared" si="2"/>
        <v>0</v>
      </c>
      <c r="M22" s="512">
        <f t="shared" si="2"/>
        <v>0</v>
      </c>
      <c r="N22" s="512">
        <f t="shared" si="2"/>
        <v>0</v>
      </c>
      <c r="O22" s="512">
        <f t="shared" si="2"/>
        <v>0</v>
      </c>
      <c r="P22" s="512">
        <f t="shared" si="2"/>
        <v>0</v>
      </c>
      <c r="Q22" s="512">
        <f t="shared" si="2"/>
        <v>0</v>
      </c>
      <c r="R22" s="512">
        <f t="shared" si="2"/>
        <v>0</v>
      </c>
    </row>
    <row r="23" spans="1:18" ht="13.5" thickTop="1">
      <c r="D23" s="2" t="s">
        <v>365</v>
      </c>
      <c r="E23" s="2" t="s">
        <v>365</v>
      </c>
      <c r="F23" s="2" t="s">
        <v>365</v>
      </c>
      <c r="G23" s="2" t="s">
        <v>365</v>
      </c>
      <c r="H23" s="2" t="s">
        <v>365</v>
      </c>
      <c r="I23" s="2" t="s">
        <v>365</v>
      </c>
      <c r="J23" s="2" t="s">
        <v>365</v>
      </c>
      <c r="K23" s="2" t="s">
        <v>365</v>
      </c>
      <c r="L23" s="2" t="s">
        <v>365</v>
      </c>
      <c r="M23" s="2" t="s">
        <v>365</v>
      </c>
      <c r="N23" s="2" t="s">
        <v>365</v>
      </c>
      <c r="O23" s="2" t="s">
        <v>365</v>
      </c>
      <c r="P23" s="2" t="s">
        <v>365</v>
      </c>
      <c r="Q23" s="132" t="s">
        <v>365</v>
      </c>
      <c r="R23" s="2" t="s">
        <v>365</v>
      </c>
    </row>
    <row r="24" spans="1:18">
      <c r="A24">
        <v>11</v>
      </c>
      <c r="B24" s="42" t="s">
        <v>181</v>
      </c>
    </row>
    <row r="25" spans="1:18">
      <c r="A25">
        <v>12</v>
      </c>
      <c r="B25" s="42" t="s">
        <v>135</v>
      </c>
    </row>
    <row r="26" spans="1:18">
      <c r="A26">
        <v>13</v>
      </c>
      <c r="B26" s="507" t="s">
        <v>162</v>
      </c>
      <c r="C26" s="515">
        <v>850</v>
      </c>
      <c r="D26" s="509">
        <v>2101.23</v>
      </c>
      <c r="E26" s="509">
        <v>2342.31</v>
      </c>
      <c r="F26" s="509">
        <v>10700.330000000002</v>
      </c>
      <c r="G26" s="509">
        <v>4004.1099999999997</v>
      </c>
      <c r="H26" s="509">
        <v>13046.72</v>
      </c>
      <c r="I26" s="509">
        <v>30629.829999999994</v>
      </c>
      <c r="J26" s="509">
        <v>52275.790000000008</v>
      </c>
      <c r="K26" s="509">
        <v>5406.9</v>
      </c>
      <c r="L26" s="509">
        <v>5616.73</v>
      </c>
      <c r="M26" s="509">
        <v>6641.0199999999986</v>
      </c>
      <c r="N26" s="509">
        <v>11623.310000000001</v>
      </c>
      <c r="O26" s="509">
        <v>26790.400000000001</v>
      </c>
      <c r="P26" s="68">
        <f>SUM(D26:O26)</f>
        <v>171178.68</v>
      </c>
      <c r="Q26" s="68"/>
      <c r="R26" s="68">
        <f>+P26+Q26</f>
        <v>171178.68</v>
      </c>
    </row>
    <row r="27" spans="1:18">
      <c r="A27">
        <v>14</v>
      </c>
      <c r="B27" s="507" t="s">
        <v>163</v>
      </c>
      <c r="C27" s="515">
        <v>851</v>
      </c>
      <c r="D27" s="509">
        <v>447.41</v>
      </c>
      <c r="E27" s="509">
        <v>0</v>
      </c>
      <c r="F27" s="509">
        <v>0</v>
      </c>
      <c r="G27" s="509">
        <v>0</v>
      </c>
      <c r="H27" s="509">
        <v>14.56</v>
      </c>
      <c r="I27" s="509">
        <v>125.91</v>
      </c>
      <c r="J27" s="509">
        <v>0</v>
      </c>
      <c r="K27" s="509">
        <v>915.79</v>
      </c>
      <c r="L27" s="509">
        <v>514.95000000000005</v>
      </c>
      <c r="M27" s="509">
        <v>26.310000000000002</v>
      </c>
      <c r="N27" s="509">
        <v>81.22999999999999</v>
      </c>
      <c r="O27" s="509">
        <v>0</v>
      </c>
      <c r="P27" s="68">
        <f t="shared" ref="P27:P36" si="3">SUM(D27:O27)</f>
        <v>2126.16</v>
      </c>
      <c r="Q27" s="269">
        <v>0</v>
      </c>
      <c r="R27" s="68">
        <f t="shared" ref="R27:R36" si="4">+P27+Q27</f>
        <v>2126.16</v>
      </c>
    </row>
    <row r="28" spans="1:18">
      <c r="A28">
        <v>15</v>
      </c>
      <c r="B28" s="507" t="s">
        <v>164</v>
      </c>
      <c r="C28" s="515">
        <v>852</v>
      </c>
      <c r="D28" s="509">
        <v>8165.31</v>
      </c>
      <c r="E28" s="509">
        <v>5601.6</v>
      </c>
      <c r="F28" s="509">
        <v>7960.49</v>
      </c>
      <c r="G28" s="509">
        <v>8601.99</v>
      </c>
      <c r="H28" s="509">
        <v>1952.45</v>
      </c>
      <c r="I28" s="509">
        <v>7973.62</v>
      </c>
      <c r="J28" s="509">
        <v>2547.19</v>
      </c>
      <c r="K28" s="509">
        <v>2497.4499999999998</v>
      </c>
      <c r="L28" s="509">
        <v>8574.43</v>
      </c>
      <c r="M28" s="509">
        <v>8343.5499999999993</v>
      </c>
      <c r="N28" s="509">
        <v>8293.7800000000007</v>
      </c>
      <c r="O28" s="509">
        <v>30409.79</v>
      </c>
      <c r="P28" s="68">
        <f t="shared" si="3"/>
        <v>100921.65</v>
      </c>
      <c r="Q28" s="269">
        <v>0</v>
      </c>
      <c r="R28" s="68">
        <f t="shared" si="4"/>
        <v>100921.65</v>
      </c>
    </row>
    <row r="29" spans="1:18">
      <c r="A29">
        <v>16</v>
      </c>
      <c r="B29" s="507" t="s">
        <v>152</v>
      </c>
      <c r="C29" s="515">
        <v>853</v>
      </c>
      <c r="D29" s="509">
        <v>0</v>
      </c>
      <c r="E29" s="509">
        <v>55389.79</v>
      </c>
      <c r="F29" s="509">
        <v>1837.25</v>
      </c>
      <c r="G29" s="509">
        <v>1195.7699999999998</v>
      </c>
      <c r="H29" s="509">
        <v>9623.98</v>
      </c>
      <c r="I29" s="509">
        <v>12427.58</v>
      </c>
      <c r="J29" s="509">
        <v>1485.1000000000004</v>
      </c>
      <c r="K29" s="509">
        <v>2538.4800000000005</v>
      </c>
      <c r="L29" s="509">
        <v>5014.22</v>
      </c>
      <c r="M29" s="509">
        <v>9367.1</v>
      </c>
      <c r="N29" s="509">
        <v>-224.96000000000049</v>
      </c>
      <c r="O29" s="509">
        <v>27824.55</v>
      </c>
      <c r="P29" s="68">
        <f t="shared" si="3"/>
        <v>126478.86</v>
      </c>
      <c r="Q29" s="269">
        <v>0</v>
      </c>
      <c r="R29" s="68">
        <f t="shared" si="4"/>
        <v>126478.86</v>
      </c>
    </row>
    <row r="30" spans="1:18">
      <c r="A30">
        <v>17</v>
      </c>
      <c r="B30" s="507" t="s">
        <v>153</v>
      </c>
      <c r="C30" s="515">
        <v>854</v>
      </c>
      <c r="D30" s="509">
        <v>0</v>
      </c>
      <c r="E30" s="509">
        <v>0</v>
      </c>
      <c r="F30" s="509">
        <v>0</v>
      </c>
      <c r="G30" s="509">
        <v>0</v>
      </c>
      <c r="H30" s="509">
        <v>0</v>
      </c>
      <c r="I30" s="509">
        <v>0</v>
      </c>
      <c r="J30" s="509">
        <v>0</v>
      </c>
      <c r="K30" s="509">
        <v>0</v>
      </c>
      <c r="L30" s="509">
        <v>0</v>
      </c>
      <c r="M30" s="509">
        <v>0</v>
      </c>
      <c r="N30" s="509">
        <v>0</v>
      </c>
      <c r="O30" s="509">
        <v>0</v>
      </c>
      <c r="P30" s="68">
        <f t="shared" si="3"/>
        <v>0</v>
      </c>
      <c r="Q30" s="269">
        <v>0</v>
      </c>
      <c r="R30" s="68">
        <f t="shared" si="4"/>
        <v>0</v>
      </c>
    </row>
    <row r="31" spans="1:18">
      <c r="A31">
        <v>18</v>
      </c>
      <c r="B31" s="507" t="s">
        <v>154</v>
      </c>
      <c r="C31" s="515">
        <v>855</v>
      </c>
      <c r="D31" s="509">
        <v>0</v>
      </c>
      <c r="E31" s="509">
        <v>0</v>
      </c>
      <c r="F31" s="509">
        <v>0</v>
      </c>
      <c r="G31" s="509">
        <v>0</v>
      </c>
      <c r="H31" s="509">
        <v>0</v>
      </c>
      <c r="I31" s="509">
        <v>0</v>
      </c>
      <c r="J31" s="509">
        <v>0</v>
      </c>
      <c r="K31" s="509">
        <v>0</v>
      </c>
      <c r="L31" s="509">
        <v>0</v>
      </c>
      <c r="M31" s="509">
        <v>0</v>
      </c>
      <c r="N31" s="509">
        <v>0</v>
      </c>
      <c r="O31" s="509">
        <v>0</v>
      </c>
      <c r="P31" s="68">
        <f t="shared" si="3"/>
        <v>0</v>
      </c>
      <c r="Q31" s="269">
        <v>0</v>
      </c>
      <c r="R31" s="68">
        <f t="shared" si="4"/>
        <v>0</v>
      </c>
    </row>
    <row r="32" spans="1:18">
      <c r="A32">
        <v>19</v>
      </c>
      <c r="B32" s="507" t="s">
        <v>155</v>
      </c>
      <c r="C32" s="515">
        <v>856</v>
      </c>
      <c r="D32" s="509">
        <v>2066.2499999999995</v>
      </c>
      <c r="E32" s="509">
        <v>3477.150000000001</v>
      </c>
      <c r="F32" s="509">
        <v>478.63</v>
      </c>
      <c r="G32" s="509">
        <v>94518.949999999983</v>
      </c>
      <c r="H32" s="509">
        <v>146.01</v>
      </c>
      <c r="I32" s="509">
        <v>5349.76</v>
      </c>
      <c r="J32" s="509">
        <v>1003.55</v>
      </c>
      <c r="K32" s="509">
        <v>408.37</v>
      </c>
      <c r="L32" s="509">
        <v>939.59999999999991</v>
      </c>
      <c r="M32" s="509">
        <v>4657.6899999999996</v>
      </c>
      <c r="N32" s="509">
        <v>5108.8700000000008</v>
      </c>
      <c r="O32" s="509">
        <v>7379.1600000000008</v>
      </c>
      <c r="P32" s="68">
        <f t="shared" si="3"/>
        <v>125533.98999999998</v>
      </c>
      <c r="Q32" s="269">
        <v>0</v>
      </c>
      <c r="R32" s="68">
        <f t="shared" si="4"/>
        <v>125533.98999999998</v>
      </c>
    </row>
    <row r="33" spans="1:19">
      <c r="A33">
        <v>20</v>
      </c>
      <c r="B33" s="507" t="s">
        <v>182</v>
      </c>
      <c r="C33" s="515">
        <v>857</v>
      </c>
      <c r="D33" s="509">
        <v>0</v>
      </c>
      <c r="E33" s="509">
        <v>278.93</v>
      </c>
      <c r="F33" s="509">
        <v>59.25</v>
      </c>
      <c r="G33" s="509">
        <v>366.86</v>
      </c>
      <c r="H33" s="509">
        <v>7608.7199999999993</v>
      </c>
      <c r="I33" s="509">
        <v>247.57</v>
      </c>
      <c r="J33" s="509">
        <v>77.19</v>
      </c>
      <c r="K33" s="509">
        <v>222.32</v>
      </c>
      <c r="L33" s="509">
        <v>1933.68</v>
      </c>
      <c r="M33" s="509">
        <v>601.71</v>
      </c>
      <c r="N33" s="509">
        <v>27.54</v>
      </c>
      <c r="O33" s="509">
        <v>221.35999999999996</v>
      </c>
      <c r="P33" s="68">
        <f t="shared" si="3"/>
        <v>11645.130000000001</v>
      </c>
      <c r="Q33" s="269">
        <v>0</v>
      </c>
      <c r="R33" s="106">
        <f t="shared" si="4"/>
        <v>11645.130000000001</v>
      </c>
      <c r="S33" s="72"/>
    </row>
    <row r="34" spans="1:19">
      <c r="A34">
        <v>21</v>
      </c>
      <c r="B34" s="507" t="s">
        <v>157</v>
      </c>
      <c r="C34" s="515">
        <v>858</v>
      </c>
      <c r="D34" s="509">
        <v>0</v>
      </c>
      <c r="E34" s="509">
        <v>0</v>
      </c>
      <c r="F34" s="509">
        <v>0</v>
      </c>
      <c r="G34" s="509">
        <v>0</v>
      </c>
      <c r="H34" s="509">
        <v>0</v>
      </c>
      <c r="I34" s="509">
        <v>0</v>
      </c>
      <c r="J34" s="509">
        <v>0</v>
      </c>
      <c r="K34" s="509">
        <v>0</v>
      </c>
      <c r="L34" s="509">
        <v>0</v>
      </c>
      <c r="M34" s="509">
        <v>0</v>
      </c>
      <c r="N34" s="509">
        <v>0</v>
      </c>
      <c r="O34" s="509">
        <v>0</v>
      </c>
      <c r="P34" s="68">
        <f t="shared" si="3"/>
        <v>0</v>
      </c>
      <c r="Q34" s="269">
        <v>0</v>
      </c>
      <c r="R34" s="106">
        <f t="shared" si="4"/>
        <v>0</v>
      </c>
      <c r="S34" s="72"/>
    </row>
    <row r="35" spans="1:19">
      <c r="A35">
        <v>22</v>
      </c>
      <c r="B35" s="507" t="s">
        <v>158</v>
      </c>
      <c r="C35" s="515">
        <v>859</v>
      </c>
      <c r="D35" s="509">
        <v>0</v>
      </c>
      <c r="E35" s="509">
        <v>0</v>
      </c>
      <c r="F35" s="509">
        <v>0</v>
      </c>
      <c r="G35" s="509">
        <v>0</v>
      </c>
      <c r="H35" s="509">
        <v>0</v>
      </c>
      <c r="I35" s="509">
        <v>0</v>
      </c>
      <c r="J35" s="509">
        <v>1184.3400000000001</v>
      </c>
      <c r="K35" s="509">
        <v>441.53</v>
      </c>
      <c r="L35" s="509">
        <v>-1625.8700000000003</v>
      </c>
      <c r="M35" s="509">
        <v>0</v>
      </c>
      <c r="N35" s="509">
        <v>0</v>
      </c>
      <c r="O35" s="509">
        <v>2471.0199999999995</v>
      </c>
      <c r="P35" s="68">
        <f t="shared" si="3"/>
        <v>2471.0199999999995</v>
      </c>
      <c r="Q35" s="269">
        <v>0</v>
      </c>
      <c r="R35" s="106">
        <f t="shared" si="4"/>
        <v>2471.0199999999995</v>
      </c>
      <c r="S35" s="72"/>
    </row>
    <row r="36" spans="1:19">
      <c r="A36">
        <v>23</v>
      </c>
      <c r="B36" s="507" t="s">
        <v>150</v>
      </c>
      <c r="C36" s="515">
        <v>860</v>
      </c>
      <c r="D36" s="509">
        <v>0</v>
      </c>
      <c r="E36" s="509">
        <v>0</v>
      </c>
      <c r="F36" s="509">
        <v>0</v>
      </c>
      <c r="G36" s="509">
        <v>2400</v>
      </c>
      <c r="H36" s="509">
        <v>0</v>
      </c>
      <c r="I36" s="509">
        <v>0</v>
      </c>
      <c r="J36" s="509">
        <v>0</v>
      </c>
      <c r="K36" s="509">
        <v>0</v>
      </c>
      <c r="L36" s="509">
        <v>0</v>
      </c>
      <c r="M36" s="509">
        <v>0</v>
      </c>
      <c r="N36" s="509">
        <v>0</v>
      </c>
      <c r="O36" s="509">
        <v>56712.3</v>
      </c>
      <c r="P36" s="68">
        <f t="shared" si="3"/>
        <v>59112.3</v>
      </c>
      <c r="Q36" s="269">
        <v>0</v>
      </c>
      <c r="R36" s="106">
        <f t="shared" si="4"/>
        <v>59112.3</v>
      </c>
      <c r="S36" s="72"/>
    </row>
    <row r="37" spans="1:19" ht="13.5" thickBot="1">
      <c r="A37">
        <v>24</v>
      </c>
      <c r="C37" s="44"/>
      <c r="D37" s="69">
        <f t="shared" ref="D37:R37" si="5">SUM(D26:D36)</f>
        <v>12780.2</v>
      </c>
      <c r="E37" s="69">
        <f t="shared" si="5"/>
        <v>67089.779999999984</v>
      </c>
      <c r="F37" s="69">
        <f t="shared" si="5"/>
        <v>21035.95</v>
      </c>
      <c r="G37" s="69">
        <f t="shared" si="5"/>
        <v>111087.67999999998</v>
      </c>
      <c r="H37" s="69">
        <f t="shared" si="5"/>
        <v>32392.439999999995</v>
      </c>
      <c r="I37" s="69">
        <f t="shared" si="5"/>
        <v>56754.27</v>
      </c>
      <c r="J37" s="69">
        <f t="shared" si="5"/>
        <v>58573.160000000018</v>
      </c>
      <c r="K37" s="69">
        <f t="shared" si="5"/>
        <v>12430.84</v>
      </c>
      <c r="L37" s="69">
        <f t="shared" si="5"/>
        <v>20967.740000000002</v>
      </c>
      <c r="M37" s="69">
        <f t="shared" si="5"/>
        <v>29637.379999999994</v>
      </c>
      <c r="N37" s="69">
        <f t="shared" si="5"/>
        <v>24909.770000000004</v>
      </c>
      <c r="O37" s="69">
        <f t="shared" si="5"/>
        <v>151808.58000000002</v>
      </c>
      <c r="P37" s="69">
        <f t="shared" si="5"/>
        <v>599467.79</v>
      </c>
      <c r="Q37" s="150">
        <f t="shared" si="5"/>
        <v>0</v>
      </c>
      <c r="R37" s="69">
        <f t="shared" si="5"/>
        <v>599467.79</v>
      </c>
    </row>
    <row r="38" spans="1:19" ht="13.5" thickTop="1">
      <c r="A38">
        <v>25</v>
      </c>
      <c r="B38" s="42" t="s">
        <v>136</v>
      </c>
      <c r="C38" s="44"/>
      <c r="D38" s="68"/>
      <c r="E38" s="68"/>
      <c r="F38" s="68"/>
      <c r="G38" s="68"/>
      <c r="H38" s="68"/>
      <c r="I38" s="68"/>
      <c r="J38" s="68"/>
      <c r="K38" s="68"/>
      <c r="L38" s="68"/>
      <c r="M38" s="68"/>
      <c r="N38" s="68"/>
      <c r="O38" s="68"/>
      <c r="P38" s="68"/>
      <c r="Q38" s="106"/>
      <c r="R38" s="68"/>
    </row>
    <row r="39" spans="1:19">
      <c r="A39">
        <v>26</v>
      </c>
      <c r="B39" s="507" t="s">
        <v>183</v>
      </c>
      <c r="C39" s="515">
        <v>861</v>
      </c>
      <c r="D39" s="509">
        <v>0</v>
      </c>
      <c r="E39" s="509">
        <v>0</v>
      </c>
      <c r="F39" s="509">
        <v>0</v>
      </c>
      <c r="G39" s="509">
        <v>0</v>
      </c>
      <c r="H39" s="509">
        <v>0</v>
      </c>
      <c r="I39" s="509">
        <v>0</v>
      </c>
      <c r="J39" s="509">
        <v>0</v>
      </c>
      <c r="K39" s="509">
        <v>0</v>
      </c>
      <c r="L39" s="509">
        <v>0</v>
      </c>
      <c r="M39" s="509">
        <v>0</v>
      </c>
      <c r="N39" s="509">
        <v>0</v>
      </c>
      <c r="O39" s="509">
        <v>0</v>
      </c>
      <c r="P39" s="68">
        <f>SUM(D39:O39)</f>
        <v>0</v>
      </c>
      <c r="Q39" s="269">
        <v>0</v>
      </c>
      <c r="R39" s="68">
        <f t="shared" ref="R39:R45" si="6">+P39+Q39</f>
        <v>0</v>
      </c>
    </row>
    <row r="40" spans="1:19">
      <c r="A40">
        <v>27</v>
      </c>
      <c r="B40" s="507" t="s">
        <v>184</v>
      </c>
      <c r="C40" s="515">
        <v>862</v>
      </c>
      <c r="D40" s="509">
        <v>0</v>
      </c>
      <c r="E40" s="509">
        <v>0</v>
      </c>
      <c r="F40" s="509">
        <v>0</v>
      </c>
      <c r="G40" s="509">
        <v>0</v>
      </c>
      <c r="H40" s="509">
        <v>0</v>
      </c>
      <c r="I40" s="509">
        <v>0</v>
      </c>
      <c r="J40" s="509">
        <v>0</v>
      </c>
      <c r="K40" s="509">
        <v>0</v>
      </c>
      <c r="L40" s="509">
        <v>0</v>
      </c>
      <c r="M40" s="509">
        <v>0</v>
      </c>
      <c r="N40" s="509">
        <v>0</v>
      </c>
      <c r="O40" s="509">
        <v>0</v>
      </c>
      <c r="P40" s="68">
        <f t="shared" ref="P40:P45" si="7">SUM(D40:O40)</f>
        <v>0</v>
      </c>
      <c r="Q40" s="269">
        <v>0</v>
      </c>
      <c r="R40" s="68">
        <f t="shared" si="6"/>
        <v>0</v>
      </c>
    </row>
    <row r="41" spans="1:19">
      <c r="A41">
        <v>28</v>
      </c>
      <c r="B41" s="507" t="s">
        <v>185</v>
      </c>
      <c r="C41" s="515">
        <v>863</v>
      </c>
      <c r="D41" s="509">
        <v>2108.3199999999997</v>
      </c>
      <c r="E41" s="509">
        <v>17450.04</v>
      </c>
      <c r="F41" s="509">
        <v>6590.5000000000009</v>
      </c>
      <c r="G41" s="509">
        <v>9332.82</v>
      </c>
      <c r="H41" s="509">
        <v>7557.55</v>
      </c>
      <c r="I41" s="509">
        <v>5162.2699999999977</v>
      </c>
      <c r="J41" s="509">
        <v>8119.3799999999992</v>
      </c>
      <c r="K41" s="509">
        <v>13979.699999999999</v>
      </c>
      <c r="L41" s="509">
        <v>34247.21</v>
      </c>
      <c r="M41" s="509">
        <v>76520.269999999975</v>
      </c>
      <c r="N41" s="509">
        <v>429174.41999999981</v>
      </c>
      <c r="O41" s="509">
        <v>263991.47000000003</v>
      </c>
      <c r="P41" s="68">
        <f t="shared" si="7"/>
        <v>874233.94999999972</v>
      </c>
      <c r="Q41" s="68">
        <v>0</v>
      </c>
      <c r="R41" s="68">
        <f t="shared" si="6"/>
        <v>874233.94999999972</v>
      </c>
    </row>
    <row r="42" spans="1:19">
      <c r="A42">
        <v>29</v>
      </c>
      <c r="B42" s="507" t="s">
        <v>186</v>
      </c>
      <c r="C42" s="515">
        <v>864</v>
      </c>
      <c r="D42" s="509">
        <v>0</v>
      </c>
      <c r="E42" s="509">
        <v>0</v>
      </c>
      <c r="F42" s="509">
        <v>0</v>
      </c>
      <c r="G42" s="509">
        <v>0</v>
      </c>
      <c r="H42" s="509">
        <v>0</v>
      </c>
      <c r="I42" s="509">
        <v>0</v>
      </c>
      <c r="J42" s="509">
        <v>0</v>
      </c>
      <c r="K42" s="509">
        <v>0</v>
      </c>
      <c r="L42" s="509">
        <v>0</v>
      </c>
      <c r="M42" s="509">
        <v>0</v>
      </c>
      <c r="N42" s="509">
        <v>0</v>
      </c>
      <c r="O42" s="509">
        <v>0</v>
      </c>
      <c r="P42" s="68">
        <f t="shared" si="7"/>
        <v>0</v>
      </c>
      <c r="Q42" s="269">
        <v>0</v>
      </c>
      <c r="R42" s="68">
        <f>+P42+Q42</f>
        <v>0</v>
      </c>
    </row>
    <row r="43" spans="1:19">
      <c r="A43">
        <v>30</v>
      </c>
      <c r="B43" s="507" t="s">
        <v>187</v>
      </c>
      <c r="C43" s="515">
        <v>865</v>
      </c>
      <c r="D43" s="509">
        <v>0</v>
      </c>
      <c r="E43" s="509">
        <v>0</v>
      </c>
      <c r="F43" s="509">
        <v>0</v>
      </c>
      <c r="G43" s="509">
        <v>0</v>
      </c>
      <c r="H43" s="509">
        <v>0</v>
      </c>
      <c r="I43" s="509">
        <v>0</v>
      </c>
      <c r="J43" s="509">
        <v>0</v>
      </c>
      <c r="K43" s="509">
        <v>0</v>
      </c>
      <c r="L43" s="509">
        <v>0</v>
      </c>
      <c r="M43" s="509">
        <v>0</v>
      </c>
      <c r="N43" s="509">
        <v>0</v>
      </c>
      <c r="O43" s="509">
        <v>0</v>
      </c>
      <c r="P43" s="68">
        <f t="shared" si="7"/>
        <v>0</v>
      </c>
      <c r="Q43" s="269">
        <v>0</v>
      </c>
      <c r="R43" s="68">
        <f t="shared" si="6"/>
        <v>0</v>
      </c>
    </row>
    <row r="44" spans="1:19">
      <c r="A44">
        <v>31</v>
      </c>
      <c r="B44" s="507" t="s">
        <v>189</v>
      </c>
      <c r="C44" s="515">
        <v>866</v>
      </c>
      <c r="D44" s="509">
        <v>0</v>
      </c>
      <c r="E44" s="509">
        <v>0</v>
      </c>
      <c r="F44" s="509">
        <v>0</v>
      </c>
      <c r="G44" s="509">
        <v>0</v>
      </c>
      <c r="H44" s="509">
        <v>0</v>
      </c>
      <c r="I44" s="509">
        <v>0</v>
      </c>
      <c r="J44" s="509">
        <v>0</v>
      </c>
      <c r="K44" s="509">
        <v>0</v>
      </c>
      <c r="L44" s="509">
        <v>0</v>
      </c>
      <c r="M44" s="509">
        <v>0</v>
      </c>
      <c r="N44" s="509">
        <v>0</v>
      </c>
      <c r="O44" s="509">
        <v>0</v>
      </c>
      <c r="P44" s="68">
        <f t="shared" si="7"/>
        <v>0</v>
      </c>
      <c r="Q44" s="269">
        <v>0</v>
      </c>
      <c r="R44" s="68">
        <f t="shared" si="6"/>
        <v>0</v>
      </c>
    </row>
    <row r="45" spans="1:19">
      <c r="A45">
        <v>32</v>
      </c>
      <c r="B45" s="507" t="s">
        <v>188</v>
      </c>
      <c r="C45" s="515">
        <v>867</v>
      </c>
      <c r="D45" s="509">
        <v>0</v>
      </c>
      <c r="E45" s="509">
        <v>0</v>
      </c>
      <c r="F45" s="509">
        <v>0</v>
      </c>
      <c r="G45" s="509">
        <v>0</v>
      </c>
      <c r="H45" s="509">
        <v>0</v>
      </c>
      <c r="I45" s="509">
        <v>0</v>
      </c>
      <c r="J45" s="509">
        <v>0</v>
      </c>
      <c r="K45" s="509">
        <v>0</v>
      </c>
      <c r="L45" s="509">
        <v>0</v>
      </c>
      <c r="M45" s="509">
        <v>0</v>
      </c>
      <c r="N45" s="509">
        <v>0</v>
      </c>
      <c r="O45" s="509">
        <v>0</v>
      </c>
      <c r="P45" s="68">
        <f t="shared" si="7"/>
        <v>0</v>
      </c>
      <c r="Q45" s="269">
        <v>0</v>
      </c>
      <c r="R45" s="68">
        <f t="shared" si="6"/>
        <v>0</v>
      </c>
    </row>
    <row r="46" spans="1:19" ht="13.5" thickBot="1">
      <c r="A46">
        <v>33</v>
      </c>
      <c r="C46" s="44"/>
      <c r="D46" s="69">
        <f t="shared" ref="D46:R46" si="8">SUM(D39:D45)</f>
        <v>2108.3199999999997</v>
      </c>
      <c r="E46" s="69">
        <f t="shared" si="8"/>
        <v>17450.04</v>
      </c>
      <c r="F46" s="69">
        <f t="shared" si="8"/>
        <v>6590.5000000000009</v>
      </c>
      <c r="G46" s="69">
        <f t="shared" si="8"/>
        <v>9332.82</v>
      </c>
      <c r="H46" s="69">
        <f t="shared" si="8"/>
        <v>7557.55</v>
      </c>
      <c r="I46" s="69">
        <f t="shared" si="8"/>
        <v>5162.2699999999977</v>
      </c>
      <c r="J46" s="69">
        <f t="shared" si="8"/>
        <v>8119.3799999999992</v>
      </c>
      <c r="K46" s="69">
        <f t="shared" si="8"/>
        <v>13979.699999999999</v>
      </c>
      <c r="L46" s="69">
        <f t="shared" si="8"/>
        <v>34247.21</v>
      </c>
      <c r="M46" s="69">
        <f t="shared" si="8"/>
        <v>76520.269999999975</v>
      </c>
      <c r="N46" s="69">
        <f t="shared" si="8"/>
        <v>429174.41999999981</v>
      </c>
      <c r="O46" s="69">
        <f t="shared" si="8"/>
        <v>263991.47000000003</v>
      </c>
      <c r="P46" s="69">
        <f t="shared" si="8"/>
        <v>874233.94999999972</v>
      </c>
      <c r="Q46" s="150">
        <f t="shared" si="8"/>
        <v>0</v>
      </c>
      <c r="R46" s="69">
        <f t="shared" si="8"/>
        <v>874233.94999999972</v>
      </c>
    </row>
    <row r="47" spans="1:19" ht="13.5" thickTop="1">
      <c r="B47" s="42"/>
      <c r="C47" s="44"/>
      <c r="D47" s="68"/>
      <c r="E47" s="68"/>
      <c r="F47" s="68"/>
      <c r="G47" s="68"/>
      <c r="H47" s="68"/>
      <c r="I47" s="68"/>
      <c r="J47" s="68"/>
      <c r="K47" s="68"/>
      <c r="L47" s="68"/>
      <c r="M47" s="68"/>
      <c r="N47" s="68"/>
      <c r="O47" s="68"/>
      <c r="P47" s="68"/>
      <c r="Q47" s="106"/>
      <c r="R47" s="68"/>
    </row>
    <row r="48" spans="1:19" ht="13.5" thickBot="1">
      <c r="A48">
        <v>34</v>
      </c>
      <c r="B48" s="42" t="s">
        <v>138</v>
      </c>
      <c r="C48" s="44"/>
      <c r="D48" s="69">
        <f>D37+D46</f>
        <v>14888.52</v>
      </c>
      <c r="E48" s="69">
        <f t="shared" ref="E48:R48" si="9">E37+E46</f>
        <v>84539.819999999978</v>
      </c>
      <c r="F48" s="69">
        <f t="shared" si="9"/>
        <v>27626.45</v>
      </c>
      <c r="G48" s="69">
        <f t="shared" si="9"/>
        <v>120420.49999999997</v>
      </c>
      <c r="H48" s="69">
        <f t="shared" si="9"/>
        <v>39949.99</v>
      </c>
      <c r="I48" s="69">
        <f t="shared" si="9"/>
        <v>61916.539999999994</v>
      </c>
      <c r="J48" s="69">
        <f t="shared" si="9"/>
        <v>66692.540000000023</v>
      </c>
      <c r="K48" s="69">
        <f t="shared" si="9"/>
        <v>26410.54</v>
      </c>
      <c r="L48" s="69">
        <f t="shared" si="9"/>
        <v>55214.95</v>
      </c>
      <c r="M48" s="69">
        <f t="shared" si="9"/>
        <v>106157.64999999997</v>
      </c>
      <c r="N48" s="69">
        <f t="shared" si="9"/>
        <v>454084.18999999983</v>
      </c>
      <c r="O48" s="69">
        <f t="shared" si="9"/>
        <v>415800.05000000005</v>
      </c>
      <c r="P48" s="69">
        <f t="shared" si="9"/>
        <v>1473701.7399999998</v>
      </c>
      <c r="Q48" s="150">
        <f t="shared" si="9"/>
        <v>0</v>
      </c>
      <c r="R48" s="69">
        <f t="shared" si="9"/>
        <v>1473701.7399999998</v>
      </c>
    </row>
    <row r="49" spans="1:18" ht="13.5" thickTop="1">
      <c r="B49" s="42"/>
      <c r="C49" s="44"/>
      <c r="D49" s="127"/>
      <c r="E49" s="127"/>
      <c r="F49" s="127"/>
      <c r="G49" s="127"/>
      <c r="H49" s="127"/>
      <c r="I49" s="127"/>
      <c r="J49" s="127"/>
      <c r="K49" s="127"/>
      <c r="L49" s="127"/>
      <c r="M49" s="127"/>
      <c r="N49" s="127"/>
      <c r="O49" s="127"/>
      <c r="P49" s="127"/>
      <c r="Q49" s="466"/>
      <c r="R49" s="127"/>
    </row>
    <row r="50" spans="1:18">
      <c r="A50">
        <v>35</v>
      </c>
      <c r="B50" s="42" t="s">
        <v>139</v>
      </c>
      <c r="C50" s="44"/>
      <c r="D50" s="68"/>
      <c r="E50" s="68"/>
      <c r="F50" s="68"/>
      <c r="G50" s="68"/>
      <c r="H50" s="68"/>
      <c r="I50" s="68"/>
      <c r="J50" s="68"/>
      <c r="K50" s="68"/>
      <c r="L50" s="68"/>
      <c r="M50" s="68"/>
      <c r="N50" s="68"/>
      <c r="O50" s="68"/>
      <c r="P50" s="68"/>
      <c r="Q50" s="106"/>
      <c r="R50" s="68"/>
    </row>
    <row r="51" spans="1:18">
      <c r="A51">
        <v>36</v>
      </c>
      <c r="B51" s="507" t="s">
        <v>140</v>
      </c>
      <c r="C51" s="508">
        <v>904</v>
      </c>
      <c r="D51" s="509">
        <v>0</v>
      </c>
      <c r="E51" s="509">
        <v>0</v>
      </c>
      <c r="F51" s="509">
        <v>0</v>
      </c>
      <c r="G51" s="509">
        <v>0</v>
      </c>
      <c r="H51" s="509">
        <v>0</v>
      </c>
      <c r="I51" s="509">
        <v>0</v>
      </c>
      <c r="J51" s="509">
        <v>0</v>
      </c>
      <c r="K51" s="509">
        <v>0</v>
      </c>
      <c r="L51" s="509">
        <v>0</v>
      </c>
      <c r="M51" s="509">
        <v>0</v>
      </c>
      <c r="N51" s="509">
        <v>0</v>
      </c>
      <c r="O51" s="509">
        <v>0</v>
      </c>
      <c r="P51" s="68">
        <f t="shared" ref="P51:P63" si="10">SUM(D51:O51)</f>
        <v>0</v>
      </c>
      <c r="Q51" s="269">
        <v>0</v>
      </c>
      <c r="R51" s="68">
        <f t="shared" ref="R51:R63" si="11">+P51+Q51</f>
        <v>0</v>
      </c>
    </row>
    <row r="52" spans="1:18">
      <c r="A52">
        <v>37</v>
      </c>
      <c r="B52" s="507" t="s">
        <v>141</v>
      </c>
      <c r="C52" s="508">
        <v>920</v>
      </c>
      <c r="D52" s="509">
        <v>0</v>
      </c>
      <c r="E52" s="509">
        <v>0</v>
      </c>
      <c r="F52" s="509">
        <v>0</v>
      </c>
      <c r="G52" s="509">
        <v>0</v>
      </c>
      <c r="H52" s="509">
        <v>0</v>
      </c>
      <c r="I52" s="509">
        <v>0</v>
      </c>
      <c r="J52" s="509">
        <v>0</v>
      </c>
      <c r="K52" s="509">
        <v>0</v>
      </c>
      <c r="L52" s="509">
        <v>0</v>
      </c>
      <c r="M52" s="509">
        <v>0</v>
      </c>
      <c r="N52" s="509">
        <v>0</v>
      </c>
      <c r="O52" s="509">
        <v>0</v>
      </c>
      <c r="P52" s="68">
        <f t="shared" si="10"/>
        <v>0</v>
      </c>
      <c r="Q52" s="269">
        <v>0</v>
      </c>
      <c r="R52" s="68">
        <f t="shared" si="11"/>
        <v>0</v>
      </c>
    </row>
    <row r="53" spans="1:18">
      <c r="A53">
        <v>38</v>
      </c>
      <c r="B53" s="507" t="s">
        <v>142</v>
      </c>
      <c r="C53" s="508">
        <v>921</v>
      </c>
      <c r="D53" s="509">
        <v>0</v>
      </c>
      <c r="E53" s="509">
        <v>0</v>
      </c>
      <c r="F53" s="509">
        <v>0</v>
      </c>
      <c r="G53" s="509">
        <v>0</v>
      </c>
      <c r="H53" s="509">
        <v>0</v>
      </c>
      <c r="I53" s="509">
        <v>0</v>
      </c>
      <c r="J53" s="509">
        <v>0</v>
      </c>
      <c r="K53" s="509">
        <v>0</v>
      </c>
      <c r="L53" s="509">
        <v>0</v>
      </c>
      <c r="M53" s="509">
        <v>0</v>
      </c>
      <c r="N53" s="509">
        <v>0</v>
      </c>
      <c r="O53" s="509">
        <v>0</v>
      </c>
      <c r="P53" s="68">
        <f t="shared" si="10"/>
        <v>0</v>
      </c>
      <c r="Q53" s="269">
        <v>0</v>
      </c>
      <c r="R53" s="68">
        <f t="shared" si="11"/>
        <v>0</v>
      </c>
    </row>
    <row r="54" spans="1:18" s="72" customFormat="1">
      <c r="A54">
        <v>39</v>
      </c>
      <c r="B54" s="507" t="s">
        <v>143</v>
      </c>
      <c r="C54" s="508">
        <v>922</v>
      </c>
      <c r="D54" s="509">
        <v>0</v>
      </c>
      <c r="E54" s="509">
        <v>0</v>
      </c>
      <c r="F54" s="509">
        <v>0</v>
      </c>
      <c r="G54" s="509">
        <v>0</v>
      </c>
      <c r="H54" s="509">
        <v>0</v>
      </c>
      <c r="I54" s="509">
        <v>0</v>
      </c>
      <c r="J54" s="509">
        <v>0</v>
      </c>
      <c r="K54" s="509">
        <v>0</v>
      </c>
      <c r="L54" s="509">
        <v>0</v>
      </c>
      <c r="M54" s="509">
        <v>0</v>
      </c>
      <c r="N54" s="509">
        <v>0</v>
      </c>
      <c r="O54" s="509">
        <v>0</v>
      </c>
      <c r="P54" s="106">
        <f t="shared" si="10"/>
        <v>0</v>
      </c>
      <c r="Q54" s="269">
        <v>0</v>
      </c>
      <c r="R54" s="106">
        <f t="shared" si="11"/>
        <v>0</v>
      </c>
    </row>
    <row r="55" spans="1:18" s="72" customFormat="1">
      <c r="A55">
        <v>40</v>
      </c>
      <c r="B55" s="507" t="s">
        <v>144</v>
      </c>
      <c r="C55" s="508">
        <v>923</v>
      </c>
      <c r="D55" s="516">
        <v>70158.679999999993</v>
      </c>
      <c r="E55" s="516">
        <v>89267.459999999948</v>
      </c>
      <c r="F55" s="516">
        <v>90387.94</v>
      </c>
      <c r="G55" s="516">
        <v>105740.36000000004</v>
      </c>
      <c r="H55" s="516">
        <v>154172.99999999997</v>
      </c>
      <c r="I55" s="516">
        <v>98267.919999999925</v>
      </c>
      <c r="J55" s="516">
        <v>143393.45999999996</v>
      </c>
      <c r="K55" s="516">
        <v>113749.85000000009</v>
      </c>
      <c r="L55" s="516">
        <v>108155.48000000001</v>
      </c>
      <c r="M55" s="516">
        <v>135835.66000000003</v>
      </c>
      <c r="N55" s="516">
        <v>120126.76000000011</v>
      </c>
      <c r="O55" s="516">
        <v>165192.01000000007</v>
      </c>
      <c r="P55" s="106">
        <f t="shared" si="10"/>
        <v>1394448.58</v>
      </c>
      <c r="Q55" s="588">
        <f>'H-1 ADJ'!F40</f>
        <v>139341.573339</v>
      </c>
      <c r="R55" s="106">
        <f t="shared" si="11"/>
        <v>1533790.153339</v>
      </c>
    </row>
    <row r="56" spans="1:18" s="72" customFormat="1">
      <c r="A56">
        <v>41</v>
      </c>
      <c r="B56" s="507" t="s">
        <v>145</v>
      </c>
      <c r="C56" s="508">
        <v>924</v>
      </c>
      <c r="D56" s="516">
        <v>2214.33</v>
      </c>
      <c r="E56" s="516">
        <v>2214.33</v>
      </c>
      <c r="F56" s="516">
        <v>2214.33</v>
      </c>
      <c r="G56" s="516">
        <v>2214.33</v>
      </c>
      <c r="H56" s="516">
        <v>2214.3200000000002</v>
      </c>
      <c r="I56" s="516">
        <v>2264.42</v>
      </c>
      <c r="J56" s="516">
        <v>2264.42</v>
      </c>
      <c r="K56" s="516">
        <v>2264.42</v>
      </c>
      <c r="L56" s="516">
        <v>2264.42</v>
      </c>
      <c r="M56" s="516">
        <v>2264.42</v>
      </c>
      <c r="N56" s="516">
        <v>2264.42</v>
      </c>
      <c r="O56" s="516">
        <v>2264.42</v>
      </c>
      <c r="P56" s="106">
        <f t="shared" si="10"/>
        <v>26922.579999999994</v>
      </c>
      <c r="Q56" s="269">
        <v>0</v>
      </c>
      <c r="R56" s="106">
        <f t="shared" si="11"/>
        <v>26922.579999999994</v>
      </c>
    </row>
    <row r="57" spans="1:18" s="72" customFormat="1">
      <c r="A57">
        <v>42</v>
      </c>
      <c r="B57" s="513" t="s">
        <v>146</v>
      </c>
      <c r="C57" s="508">
        <v>925</v>
      </c>
      <c r="D57" s="516">
        <v>4368.59</v>
      </c>
      <c r="E57" s="516">
        <v>4368.59</v>
      </c>
      <c r="F57" s="516">
        <v>4368.59</v>
      </c>
      <c r="G57" s="516">
        <v>4368.59</v>
      </c>
      <c r="H57" s="516">
        <v>4368.59</v>
      </c>
      <c r="I57" s="516">
        <v>6637.21</v>
      </c>
      <c r="J57" s="516">
        <v>4363.1000000000004</v>
      </c>
      <c r="K57" s="516">
        <v>4363.1000000000004</v>
      </c>
      <c r="L57" s="516">
        <v>4363.1000000000004</v>
      </c>
      <c r="M57" s="516">
        <v>4558.1000000000004</v>
      </c>
      <c r="N57" s="516">
        <v>4363.1000000000004</v>
      </c>
      <c r="O57" s="516">
        <v>4363.1000000000004</v>
      </c>
      <c r="P57" s="106">
        <f t="shared" si="10"/>
        <v>54853.759999999995</v>
      </c>
      <c r="Q57" s="269">
        <f>'H-1 ADJ'!F78</f>
        <v>400000</v>
      </c>
      <c r="R57" s="106">
        <f t="shared" si="11"/>
        <v>454853.76</v>
      </c>
    </row>
    <row r="58" spans="1:18" s="72" customFormat="1">
      <c r="A58">
        <v>43</v>
      </c>
      <c r="B58" s="513" t="s">
        <v>147</v>
      </c>
      <c r="C58" s="508">
        <v>926</v>
      </c>
      <c r="D58" s="509">
        <v>0</v>
      </c>
      <c r="E58" s="509">
        <v>0</v>
      </c>
      <c r="F58" s="509">
        <v>0</v>
      </c>
      <c r="G58" s="509">
        <v>0</v>
      </c>
      <c r="H58" s="509">
        <v>0</v>
      </c>
      <c r="I58" s="509">
        <v>0</v>
      </c>
      <c r="J58" s="509">
        <v>0</v>
      </c>
      <c r="K58" s="509">
        <v>0</v>
      </c>
      <c r="L58" s="509">
        <v>0</v>
      </c>
      <c r="M58" s="509">
        <v>0</v>
      </c>
      <c r="N58" s="509">
        <v>0</v>
      </c>
      <c r="O58" s="509">
        <v>0</v>
      </c>
      <c r="P58" s="106">
        <f t="shared" si="10"/>
        <v>0</v>
      </c>
      <c r="Q58" s="269">
        <f>'H-1 Table'!G58</f>
        <v>0</v>
      </c>
      <c r="R58" s="106">
        <f t="shared" si="11"/>
        <v>0</v>
      </c>
    </row>
    <row r="59" spans="1:18" s="72" customFormat="1">
      <c r="A59">
        <v>44</v>
      </c>
      <c r="B59" s="513" t="s">
        <v>148</v>
      </c>
      <c r="C59" s="508">
        <v>928</v>
      </c>
      <c r="D59" s="516">
        <v>6702.68</v>
      </c>
      <c r="E59" s="516">
        <v>5015.8599999999997</v>
      </c>
      <c r="F59" s="516">
        <v>5357.7599999999993</v>
      </c>
      <c r="G59" s="516">
        <v>4266.2299999999996</v>
      </c>
      <c r="H59" s="516">
        <v>4070.59</v>
      </c>
      <c r="I59" s="516">
        <v>5059.5</v>
      </c>
      <c r="J59" s="516">
        <v>4646.8099999999977</v>
      </c>
      <c r="K59" s="516">
        <v>4834.1499999999996</v>
      </c>
      <c r="L59" s="516">
        <v>2270.6800000000007</v>
      </c>
      <c r="M59" s="516">
        <v>2474.23</v>
      </c>
      <c r="N59" s="516">
        <v>4310.6399999999994</v>
      </c>
      <c r="O59" s="516">
        <v>7401.4800000000005</v>
      </c>
      <c r="P59" s="106">
        <f t="shared" si="10"/>
        <v>56410.61</v>
      </c>
      <c r="Q59" s="588">
        <f>'H-1 ADJ'!F48+'H-1 ADJ'!F55</f>
        <v>1743589.39</v>
      </c>
      <c r="R59" s="106">
        <f t="shared" si="11"/>
        <v>1800000</v>
      </c>
    </row>
    <row r="60" spans="1:18" s="72" customFormat="1">
      <c r="A60" s="72">
        <v>45</v>
      </c>
      <c r="B60" s="513" t="s">
        <v>149</v>
      </c>
      <c r="C60" s="524">
        <v>930.2</v>
      </c>
      <c r="D60" s="516">
        <v>0</v>
      </c>
      <c r="E60" s="516">
        <v>2500</v>
      </c>
      <c r="F60" s="516">
        <v>0</v>
      </c>
      <c r="G60" s="516">
        <v>0</v>
      </c>
      <c r="H60" s="516">
        <v>0</v>
      </c>
      <c r="I60" s="516">
        <v>51512.94</v>
      </c>
      <c r="J60" s="516">
        <v>11987.059999999998</v>
      </c>
      <c r="K60" s="516">
        <v>0</v>
      </c>
      <c r="L60" s="516">
        <v>0</v>
      </c>
      <c r="M60" s="516">
        <v>0</v>
      </c>
      <c r="N60" s="516">
        <v>0</v>
      </c>
      <c r="O60" s="516">
        <v>0</v>
      </c>
      <c r="P60" s="106">
        <f t="shared" si="10"/>
        <v>66000</v>
      </c>
      <c r="Q60" s="269">
        <v>0</v>
      </c>
      <c r="R60" s="106">
        <f t="shared" si="11"/>
        <v>66000</v>
      </c>
    </row>
    <row r="61" spans="1:18" s="72" customFormat="1">
      <c r="A61">
        <v>46</v>
      </c>
      <c r="B61" s="507" t="s">
        <v>150</v>
      </c>
      <c r="C61" s="508">
        <v>931</v>
      </c>
      <c r="D61" s="516"/>
      <c r="E61" s="516"/>
      <c r="F61" s="516">
        <v>3428.19</v>
      </c>
      <c r="G61" s="516"/>
      <c r="H61" s="516"/>
      <c r="I61" s="516">
        <v>3292.12</v>
      </c>
      <c r="J61" s="516"/>
      <c r="K61" s="516"/>
      <c r="L61" s="516">
        <v>2618.75</v>
      </c>
      <c r="M61" s="516"/>
      <c r="N61" s="516"/>
      <c r="O61" s="516">
        <v>-9339.06</v>
      </c>
      <c r="P61" s="106">
        <f t="shared" si="10"/>
        <v>0</v>
      </c>
      <c r="Q61" s="269">
        <v>0</v>
      </c>
      <c r="R61" s="106">
        <f t="shared" si="11"/>
        <v>0</v>
      </c>
    </row>
    <row r="62" spans="1:18" s="72" customFormat="1">
      <c r="A62">
        <v>47</v>
      </c>
      <c r="B62" s="507" t="s">
        <v>443</v>
      </c>
      <c r="C62" s="508">
        <v>932</v>
      </c>
      <c r="D62" s="509">
        <v>0</v>
      </c>
      <c r="E62" s="509">
        <v>0</v>
      </c>
      <c r="F62" s="509">
        <v>0</v>
      </c>
      <c r="G62" s="509">
        <v>0</v>
      </c>
      <c r="H62" s="509">
        <v>0</v>
      </c>
      <c r="I62" s="509">
        <v>0</v>
      </c>
      <c r="J62" s="509">
        <v>0</v>
      </c>
      <c r="K62" s="509">
        <v>0</v>
      </c>
      <c r="L62" s="509">
        <v>0</v>
      </c>
      <c r="M62" s="509">
        <v>0</v>
      </c>
      <c r="N62" s="509">
        <v>0</v>
      </c>
      <c r="O62" s="509">
        <v>0</v>
      </c>
      <c r="P62" s="106">
        <f t="shared" si="10"/>
        <v>0</v>
      </c>
      <c r="Q62" s="269">
        <v>0</v>
      </c>
      <c r="R62" s="106">
        <f t="shared" si="11"/>
        <v>0</v>
      </c>
    </row>
    <row r="63" spans="1:18" s="72" customFormat="1">
      <c r="A63">
        <v>48</v>
      </c>
      <c r="B63" s="507" t="s">
        <v>137</v>
      </c>
      <c r="C63" s="508"/>
      <c r="D63" s="516"/>
      <c r="E63" s="516"/>
      <c r="F63" s="516"/>
      <c r="G63" s="516"/>
      <c r="H63" s="516"/>
      <c r="I63" s="516"/>
      <c r="J63" s="516"/>
      <c r="K63" s="516"/>
      <c r="L63" s="516"/>
      <c r="M63" s="516"/>
      <c r="N63" s="516"/>
      <c r="O63" s="516"/>
      <c r="P63" s="106">
        <f t="shared" si="10"/>
        <v>0</v>
      </c>
      <c r="Q63" s="269"/>
      <c r="R63" s="106">
        <f t="shared" si="11"/>
        <v>0</v>
      </c>
    </row>
    <row r="64" spans="1:18" ht="13.5" thickBot="1">
      <c r="A64">
        <v>49</v>
      </c>
      <c r="B64" s="42" t="s">
        <v>151</v>
      </c>
      <c r="D64" s="69">
        <f t="shared" ref="D64:R64" si="12">SUM(D51:D63)</f>
        <v>83444.28</v>
      </c>
      <c r="E64" s="69">
        <f t="shared" si="12"/>
        <v>103366.23999999995</v>
      </c>
      <c r="F64" s="69">
        <f t="shared" si="12"/>
        <v>105756.81</v>
      </c>
      <c r="G64" s="69">
        <f t="shared" si="12"/>
        <v>116589.51000000004</v>
      </c>
      <c r="H64" s="69">
        <f t="shared" si="12"/>
        <v>164826.49999999997</v>
      </c>
      <c r="I64" s="69">
        <f t="shared" si="12"/>
        <v>167034.10999999993</v>
      </c>
      <c r="J64" s="69">
        <f t="shared" si="12"/>
        <v>166654.84999999998</v>
      </c>
      <c r="K64" s="69">
        <f t="shared" si="12"/>
        <v>125211.52000000009</v>
      </c>
      <c r="L64" s="69">
        <f t="shared" si="12"/>
        <v>119672.43000000002</v>
      </c>
      <c r="M64" s="69">
        <f t="shared" si="12"/>
        <v>145132.41000000006</v>
      </c>
      <c r="N64" s="69">
        <f t="shared" si="12"/>
        <v>131064.92000000011</v>
      </c>
      <c r="O64" s="69">
        <f t="shared" si="12"/>
        <v>169881.9500000001</v>
      </c>
      <c r="P64" s="69">
        <f t="shared" si="12"/>
        <v>1598635.5300000003</v>
      </c>
      <c r="Q64" s="150">
        <f t="shared" si="12"/>
        <v>2282930.963339</v>
      </c>
      <c r="R64" s="69">
        <f t="shared" si="12"/>
        <v>3881566.4933390003</v>
      </c>
    </row>
    <row r="65" spans="1:20" ht="13.5" thickTop="1">
      <c r="B65" s="42"/>
      <c r="D65" s="68"/>
      <c r="E65" s="68"/>
      <c r="F65" s="68"/>
      <c r="G65" s="68"/>
      <c r="H65" s="68"/>
      <c r="I65" s="68"/>
      <c r="J65" s="68"/>
      <c r="K65" s="68"/>
      <c r="L65" s="68"/>
      <c r="M65" s="68"/>
      <c r="N65" s="68"/>
      <c r="O65" s="68"/>
      <c r="P65" s="68"/>
      <c r="Q65" s="106"/>
      <c r="R65" s="68"/>
    </row>
    <row r="66" spans="1:20" ht="13.5" thickBot="1">
      <c r="A66">
        <v>50</v>
      </c>
      <c r="B66" s="42" t="s">
        <v>377</v>
      </c>
      <c r="D66" s="69">
        <f t="shared" ref="D66:R66" si="13">D64+D48</f>
        <v>98332.800000000003</v>
      </c>
      <c r="E66" s="69">
        <f t="shared" si="13"/>
        <v>187906.05999999994</v>
      </c>
      <c r="F66" s="69">
        <f t="shared" si="13"/>
        <v>133383.26</v>
      </c>
      <c r="G66" s="69">
        <f t="shared" si="13"/>
        <v>237010.01</v>
      </c>
      <c r="H66" s="69">
        <f t="shared" si="13"/>
        <v>204776.48999999996</v>
      </c>
      <c r="I66" s="69">
        <f t="shared" si="13"/>
        <v>228950.64999999991</v>
      </c>
      <c r="J66" s="69">
        <f t="shared" si="13"/>
        <v>233347.39</v>
      </c>
      <c r="K66" s="69">
        <f t="shared" si="13"/>
        <v>151622.06000000008</v>
      </c>
      <c r="L66" s="69">
        <f t="shared" si="13"/>
        <v>174887.38</v>
      </c>
      <c r="M66" s="69">
        <f t="shared" si="13"/>
        <v>251290.06000000003</v>
      </c>
      <c r="N66" s="69">
        <f t="shared" si="13"/>
        <v>585149.11</v>
      </c>
      <c r="O66" s="69">
        <f t="shared" si="13"/>
        <v>585682.00000000012</v>
      </c>
      <c r="P66" s="69">
        <f t="shared" si="13"/>
        <v>3072337.27</v>
      </c>
      <c r="Q66" s="150">
        <f t="shared" si="13"/>
        <v>2282930.963339</v>
      </c>
      <c r="R66" s="69">
        <f t="shared" si="13"/>
        <v>5355268.2333390005</v>
      </c>
      <c r="T66" s="68"/>
    </row>
    <row r="67" spans="1:20" ht="13.5" thickTop="1">
      <c r="D67" s="68"/>
      <c r="E67" s="68"/>
      <c r="F67" s="68"/>
      <c r="G67" s="68"/>
      <c r="H67" s="68"/>
      <c r="I67" s="68"/>
      <c r="J67" s="68"/>
      <c r="K67" s="68"/>
      <c r="L67" s="68"/>
      <c r="M67" s="68"/>
      <c r="N67" s="68"/>
      <c r="O67" s="68"/>
      <c r="P67" s="68"/>
      <c r="Q67" s="106"/>
      <c r="R67" s="68"/>
    </row>
    <row r="68" spans="1:20">
      <c r="D68" s="68"/>
      <c r="E68" s="68"/>
      <c r="F68" s="68"/>
      <c r="G68" s="68"/>
      <c r="H68" s="68"/>
      <c r="I68" s="68"/>
      <c r="J68" s="68"/>
      <c r="K68" s="68"/>
      <c r="L68" s="68"/>
      <c r="M68" s="68"/>
      <c r="N68" s="68"/>
      <c r="O68" s="68"/>
      <c r="P68" s="68"/>
      <c r="Q68" s="106"/>
      <c r="R68" s="68"/>
    </row>
    <row r="69" spans="1:20">
      <c r="D69" s="68"/>
      <c r="E69" s="68"/>
      <c r="F69" s="68"/>
      <c r="G69" s="68"/>
      <c r="H69" s="68"/>
      <c r="I69" s="68"/>
      <c r="J69" s="68"/>
      <c r="K69" s="68"/>
      <c r="L69" s="68"/>
      <c r="M69" s="68"/>
      <c r="N69" s="68"/>
      <c r="O69" s="68"/>
      <c r="P69" s="68"/>
      <c r="Q69" s="106"/>
      <c r="R69" s="68"/>
    </row>
    <row r="70" spans="1:20">
      <c r="D70" s="68"/>
      <c r="E70" s="68"/>
      <c r="F70" s="68"/>
      <c r="G70" s="68"/>
      <c r="H70" s="68"/>
      <c r="I70" s="68"/>
      <c r="J70" s="68"/>
      <c r="K70" s="68"/>
      <c r="L70" s="68"/>
      <c r="M70" s="68"/>
      <c r="N70" s="68"/>
      <c r="O70" s="68"/>
      <c r="P70" s="68"/>
      <c r="Q70" s="106"/>
      <c r="R70" s="68"/>
    </row>
    <row r="71" spans="1:20">
      <c r="D71" s="68"/>
      <c r="E71" s="68"/>
      <c r="F71" s="68"/>
      <c r="G71" s="68"/>
      <c r="H71" s="68"/>
      <c r="I71" s="68"/>
      <c r="J71" s="68"/>
      <c r="K71" s="68"/>
      <c r="L71" s="68"/>
      <c r="M71" s="68"/>
      <c r="N71" s="68"/>
      <c r="O71" s="68"/>
      <c r="P71" s="68"/>
      <c r="Q71" s="106"/>
      <c r="R71" s="68"/>
    </row>
    <row r="72" spans="1:20">
      <c r="D72" s="68"/>
      <c r="E72" s="68"/>
      <c r="F72" s="68"/>
      <c r="G72" s="68"/>
      <c r="H72" s="68"/>
      <c r="I72" s="68"/>
      <c r="J72" s="68"/>
      <c r="K72" s="68"/>
      <c r="L72" s="68"/>
      <c r="M72" s="68"/>
      <c r="N72" s="68"/>
      <c r="O72" s="68"/>
      <c r="P72" s="68"/>
      <c r="Q72" s="106"/>
      <c r="R72" s="68"/>
    </row>
    <row r="73" spans="1:20">
      <c r="D73" s="68"/>
      <c r="E73" s="68"/>
      <c r="F73" s="68"/>
      <c r="G73" s="68"/>
      <c r="H73" s="68"/>
      <c r="I73" s="68"/>
      <c r="J73" s="68"/>
      <c r="K73" s="68"/>
      <c r="L73" s="68"/>
      <c r="M73" s="68"/>
      <c r="N73" s="68"/>
      <c r="O73" s="68"/>
      <c r="P73" s="68"/>
      <c r="Q73" s="106"/>
      <c r="R73" s="68"/>
    </row>
    <row r="102" spans="4:5">
      <c r="D102" s="5"/>
      <c r="E102" s="5"/>
    </row>
    <row r="103" spans="4:5">
      <c r="D103" s="5"/>
      <c r="E103" s="5"/>
    </row>
    <row r="104" spans="4:5">
      <c r="D104" s="5"/>
      <c r="E104" s="5"/>
    </row>
    <row r="105" spans="4:5">
      <c r="D105" s="5"/>
      <c r="E105" s="5"/>
    </row>
    <row r="106" spans="4:5">
      <c r="D106" s="5"/>
      <c r="E106" s="5"/>
    </row>
    <row r="107" spans="4:5">
      <c r="D107" s="5"/>
      <c r="E107" s="5"/>
    </row>
    <row r="108" spans="4:5">
      <c r="D108" s="5"/>
      <c r="E108" s="5"/>
    </row>
    <row r="109" spans="4:5">
      <c r="D109" s="5"/>
      <c r="E109" s="5"/>
    </row>
    <row r="110" spans="4:5">
      <c r="D110" s="5"/>
      <c r="E110" s="5"/>
    </row>
    <row r="111" spans="4:5">
      <c r="D111" s="5"/>
      <c r="E111" s="5"/>
    </row>
    <row r="112" spans="4:5">
      <c r="D112" s="5"/>
      <c r="E112" s="5"/>
    </row>
    <row r="113" spans="4:5">
      <c r="D113" s="5"/>
      <c r="E113" s="5"/>
    </row>
    <row r="114" spans="4:5">
      <c r="D114" s="5"/>
      <c r="E114" s="5"/>
    </row>
    <row r="115" spans="4:5">
      <c r="D115" s="5"/>
      <c r="E115" s="5"/>
    </row>
    <row r="116" spans="4:5">
      <c r="D116" s="5"/>
      <c r="E116" s="5"/>
    </row>
    <row r="117" spans="4:5">
      <c r="D117" s="5"/>
      <c r="E117" s="5"/>
    </row>
    <row r="118" spans="4:5">
      <c r="D118" s="5"/>
      <c r="E118" s="5"/>
    </row>
    <row r="119" spans="4:5">
      <c r="D119" s="5"/>
      <c r="E119" s="5"/>
    </row>
    <row r="120" spans="4:5">
      <c r="D120" s="5"/>
      <c r="E120" s="5"/>
    </row>
    <row r="121" spans="4:5">
      <c r="D121" s="5"/>
      <c r="E121" s="5"/>
    </row>
    <row r="122" spans="4:5">
      <c r="D122" s="5"/>
      <c r="E122" s="5"/>
    </row>
    <row r="123" spans="4:5">
      <c r="D123" s="5"/>
      <c r="E123" s="5"/>
    </row>
    <row r="124" spans="4:5">
      <c r="D124" s="5"/>
      <c r="E124" s="5"/>
    </row>
    <row r="125" spans="4:5">
      <c r="D125" s="5"/>
      <c r="E125" s="5"/>
    </row>
    <row r="126" spans="4:5">
      <c r="D126" s="5"/>
      <c r="E126" s="5"/>
    </row>
    <row r="127" spans="4:5">
      <c r="D127" s="5"/>
      <c r="E127" s="5"/>
    </row>
    <row r="128" spans="4:5">
      <c r="D128" s="5"/>
      <c r="E128" s="5"/>
    </row>
    <row r="129" spans="4:5">
      <c r="D129" s="5"/>
      <c r="E129" s="5"/>
    </row>
    <row r="130" spans="4:5">
      <c r="D130" s="5"/>
      <c r="E130" s="5"/>
    </row>
    <row r="131" spans="4:5">
      <c r="D131" s="5"/>
      <c r="E131" s="5"/>
    </row>
    <row r="132" spans="4:5">
      <c r="D132" s="5"/>
      <c r="E132" s="5"/>
    </row>
    <row r="133" spans="4:5">
      <c r="D133" s="5"/>
      <c r="E133" s="5"/>
    </row>
    <row r="134" spans="4:5">
      <c r="D134" s="5"/>
      <c r="E134" s="5"/>
    </row>
    <row r="135" spans="4:5">
      <c r="D135" s="5"/>
      <c r="E135" s="5"/>
    </row>
    <row r="136" spans="4:5">
      <c r="D136" s="5"/>
      <c r="E136" s="5"/>
    </row>
    <row r="137" spans="4:5">
      <c r="D137" s="5"/>
      <c r="E137" s="5"/>
    </row>
    <row r="138" spans="4:5">
      <c r="D138" s="5"/>
      <c r="E138" s="5"/>
    </row>
    <row r="139" spans="4:5">
      <c r="D139" s="5"/>
      <c r="E139" s="5"/>
    </row>
    <row r="140" spans="4:5">
      <c r="D140" s="5"/>
      <c r="E140" s="5"/>
    </row>
    <row r="141" spans="4:5">
      <c r="D141" s="5"/>
      <c r="E141" s="5"/>
    </row>
    <row r="142" spans="4:5">
      <c r="D142" s="5"/>
      <c r="E142" s="5"/>
    </row>
    <row r="143" spans="4:5">
      <c r="D143" s="5"/>
      <c r="E143" s="5"/>
    </row>
    <row r="144" spans="4:5">
      <c r="D144" s="5"/>
      <c r="E144" s="5"/>
    </row>
    <row r="145" spans="4:5">
      <c r="D145" s="5"/>
      <c r="E145" s="5"/>
    </row>
    <row r="146" spans="4:5">
      <c r="D146" s="5"/>
      <c r="E146" s="5"/>
    </row>
    <row r="147" spans="4:5">
      <c r="D147" s="5"/>
      <c r="E147" s="5"/>
    </row>
    <row r="148" spans="4:5">
      <c r="D148" s="5"/>
      <c r="E148" s="5"/>
    </row>
    <row r="149" spans="4:5">
      <c r="D149" s="5"/>
      <c r="E149" s="5"/>
    </row>
    <row r="150" spans="4:5">
      <c r="D150" s="5"/>
      <c r="E150" s="5"/>
    </row>
    <row r="151" spans="4:5">
      <c r="D151" s="5"/>
      <c r="E151" s="5"/>
    </row>
    <row r="152" spans="4:5">
      <c r="D152" s="5"/>
      <c r="E152" s="5"/>
    </row>
    <row r="153" spans="4:5">
      <c r="D153" s="5"/>
      <c r="E153" s="5"/>
    </row>
    <row r="154" spans="4:5">
      <c r="D154" s="5"/>
      <c r="E154" s="5"/>
    </row>
    <row r="155" spans="4:5">
      <c r="D155" s="5"/>
      <c r="E155" s="5"/>
    </row>
    <row r="156" spans="4:5">
      <c r="D156" s="5"/>
      <c r="E156" s="5"/>
    </row>
    <row r="157" spans="4:5">
      <c r="D157" s="5"/>
      <c r="E157" s="5"/>
    </row>
    <row r="158" spans="4:5">
      <c r="D158" s="5"/>
      <c r="E158" s="5"/>
    </row>
    <row r="159" spans="4:5">
      <c r="D159" s="5"/>
      <c r="E159" s="5"/>
    </row>
    <row r="160" spans="4:5">
      <c r="D160" s="5"/>
      <c r="E160" s="5"/>
    </row>
    <row r="161" spans="4:5">
      <c r="D161" s="5"/>
      <c r="E161" s="5"/>
    </row>
    <row r="162" spans="4:5">
      <c r="D162" s="5"/>
      <c r="E162" s="5"/>
    </row>
    <row r="163" spans="4:5">
      <c r="D163" s="5"/>
      <c r="E163" s="5"/>
    </row>
    <row r="164" spans="4:5">
      <c r="D164" s="5"/>
      <c r="E164" s="5"/>
    </row>
    <row r="165" spans="4:5">
      <c r="D165" s="5"/>
      <c r="E165" s="5"/>
    </row>
    <row r="166" spans="4:5">
      <c r="D166" s="5"/>
      <c r="E166" s="5"/>
    </row>
    <row r="167" spans="4:5">
      <c r="D167" s="5"/>
      <c r="E167" s="5"/>
    </row>
    <row r="168" spans="4:5">
      <c r="D168" s="5"/>
      <c r="E168" s="5"/>
    </row>
    <row r="169" spans="4:5">
      <c r="D169" s="5"/>
      <c r="E169" s="5"/>
    </row>
    <row r="170" spans="4:5">
      <c r="D170" s="5"/>
      <c r="E170" s="5"/>
    </row>
    <row r="171" spans="4:5">
      <c r="D171" s="5"/>
      <c r="E171" s="5"/>
    </row>
    <row r="172" spans="4:5">
      <c r="D172" s="5"/>
      <c r="E172" s="5"/>
    </row>
    <row r="173" spans="4:5">
      <c r="D173" s="5"/>
      <c r="E173" s="5"/>
    </row>
    <row r="174" spans="4:5">
      <c r="D174" s="5"/>
      <c r="E174" s="5"/>
    </row>
    <row r="175" spans="4:5">
      <c r="D175" s="5"/>
      <c r="E175" s="5"/>
    </row>
    <row r="176" spans="4:5">
      <c r="D176" s="5"/>
      <c r="E176" s="5"/>
    </row>
    <row r="177" spans="4:5">
      <c r="D177" s="5"/>
      <c r="E177" s="5"/>
    </row>
    <row r="178" spans="4:5">
      <c r="D178" s="5"/>
      <c r="E178" s="5"/>
    </row>
    <row r="179" spans="4:5">
      <c r="D179" s="5"/>
      <c r="E179" s="5"/>
    </row>
    <row r="180" spans="4:5">
      <c r="D180" s="5"/>
      <c r="E180" s="5"/>
    </row>
    <row r="181" spans="4:5">
      <c r="D181" s="5"/>
      <c r="E181" s="5"/>
    </row>
    <row r="182" spans="4:5">
      <c r="D182" s="5"/>
      <c r="E182" s="5"/>
    </row>
    <row r="183" spans="4:5">
      <c r="D183" s="5"/>
      <c r="E183" s="5"/>
    </row>
    <row r="184" spans="4:5">
      <c r="D184" s="5"/>
      <c r="E184" s="5"/>
    </row>
    <row r="185" spans="4:5">
      <c r="D185" s="5"/>
      <c r="E185" s="5"/>
    </row>
    <row r="186" spans="4:5">
      <c r="D186" s="5"/>
      <c r="E186" s="5"/>
    </row>
    <row r="187" spans="4:5">
      <c r="D187" s="5"/>
      <c r="E187" s="5"/>
    </row>
    <row r="188" spans="4:5">
      <c r="D188" s="5"/>
      <c r="E188" s="5"/>
    </row>
    <row r="189" spans="4:5">
      <c r="D189" s="5"/>
      <c r="E189" s="5"/>
    </row>
    <row r="190" spans="4:5">
      <c r="D190" s="5"/>
      <c r="E190" s="5"/>
    </row>
    <row r="191" spans="4:5">
      <c r="D191" s="5"/>
      <c r="E191" s="5"/>
    </row>
    <row r="192" spans="4:5">
      <c r="D192" s="5"/>
      <c r="E192" s="5"/>
    </row>
    <row r="193" spans="4:5">
      <c r="D193" s="5"/>
      <c r="E193" s="5"/>
    </row>
    <row r="194" spans="4:5">
      <c r="D194" s="5"/>
      <c r="E194" s="5"/>
    </row>
    <row r="195" spans="4:5">
      <c r="D195" s="5"/>
      <c r="E195" s="5"/>
    </row>
    <row r="196" spans="4:5">
      <c r="D196" s="5"/>
      <c r="E196" s="5"/>
    </row>
    <row r="197" spans="4:5">
      <c r="D197" s="5"/>
      <c r="E197" s="5"/>
    </row>
    <row r="198" spans="4:5">
      <c r="D198" s="5"/>
      <c r="E198" s="5"/>
    </row>
    <row r="199" spans="4:5">
      <c r="D199" s="5"/>
      <c r="E199" s="5"/>
    </row>
    <row r="200" spans="4:5">
      <c r="D200" s="5"/>
      <c r="E200" s="5"/>
    </row>
    <row r="201" spans="4:5">
      <c r="D201" s="5"/>
      <c r="E201" s="5"/>
    </row>
    <row r="202" spans="4:5">
      <c r="D202" s="5"/>
      <c r="E202" s="5"/>
    </row>
    <row r="203" spans="4:5">
      <c r="D203" s="5"/>
      <c r="E203" s="5"/>
    </row>
    <row r="204" spans="4:5">
      <c r="D204" s="5"/>
      <c r="E204" s="5"/>
    </row>
    <row r="205" spans="4:5">
      <c r="D205" s="5"/>
      <c r="E205" s="5"/>
    </row>
    <row r="206" spans="4:5">
      <c r="D206" s="5"/>
      <c r="E206" s="5"/>
    </row>
    <row r="207" spans="4:5">
      <c r="D207" s="5"/>
      <c r="E207" s="5"/>
    </row>
    <row r="208" spans="4:5">
      <c r="D208" s="5"/>
      <c r="E208" s="5"/>
    </row>
    <row r="209" spans="4:5">
      <c r="D209" s="5"/>
      <c r="E209" s="5"/>
    </row>
    <row r="210" spans="4:5">
      <c r="D210" s="5"/>
      <c r="E210" s="5"/>
    </row>
    <row r="211" spans="4:5">
      <c r="D211" s="5"/>
      <c r="E211" s="5"/>
    </row>
    <row r="212" spans="4:5">
      <c r="D212" s="5"/>
      <c r="E212" s="5"/>
    </row>
    <row r="213" spans="4:5">
      <c r="D213" s="5"/>
      <c r="E213" s="5"/>
    </row>
    <row r="214" spans="4:5">
      <c r="D214" s="5"/>
      <c r="E214" s="5"/>
    </row>
    <row r="215" spans="4:5">
      <c r="D215" s="5"/>
      <c r="E215" s="5"/>
    </row>
    <row r="216" spans="4:5">
      <c r="D216" s="5"/>
      <c r="E216" s="5"/>
    </row>
    <row r="217" spans="4:5">
      <c r="D217" s="5"/>
      <c r="E217" s="5"/>
    </row>
    <row r="218" spans="4:5">
      <c r="D218" s="5"/>
      <c r="E218" s="5"/>
    </row>
    <row r="219" spans="4:5">
      <c r="D219" s="5"/>
      <c r="E219" s="5"/>
    </row>
    <row r="220" spans="4:5">
      <c r="D220" s="5"/>
      <c r="E220" s="5"/>
    </row>
    <row r="221" spans="4:5">
      <c r="D221" s="5"/>
      <c r="E221" s="5"/>
    </row>
    <row r="222" spans="4:5">
      <c r="D222" s="5"/>
      <c r="E222" s="5"/>
    </row>
    <row r="223" spans="4:5">
      <c r="D223" s="5"/>
      <c r="E223" s="5"/>
    </row>
    <row r="224" spans="4:5">
      <c r="D224" s="5"/>
      <c r="E224" s="5"/>
    </row>
    <row r="225" spans="4:5">
      <c r="D225" s="5"/>
      <c r="E225" s="5"/>
    </row>
    <row r="226" spans="4:5">
      <c r="D226" s="5"/>
      <c r="E226" s="5"/>
    </row>
    <row r="227" spans="4:5">
      <c r="D227" s="5"/>
      <c r="E227" s="5"/>
    </row>
    <row r="228" spans="4:5">
      <c r="D228" s="5"/>
      <c r="E228" s="5"/>
    </row>
    <row r="229" spans="4:5">
      <c r="D229" s="5"/>
      <c r="E229" s="5"/>
    </row>
    <row r="230" spans="4:5">
      <c r="D230" s="5"/>
      <c r="E230" s="5"/>
    </row>
    <row r="231" spans="4:5">
      <c r="D231" s="5"/>
      <c r="E231" s="5"/>
    </row>
    <row r="232" spans="4:5">
      <c r="D232" s="5"/>
      <c r="E232" s="5"/>
    </row>
    <row r="233" spans="4:5">
      <c r="D233" s="5"/>
      <c r="E233" s="5"/>
    </row>
    <row r="234" spans="4:5">
      <c r="D234" s="5"/>
      <c r="E234" s="5"/>
    </row>
    <row r="235" spans="4:5">
      <c r="D235" s="5"/>
      <c r="E235" s="5"/>
    </row>
    <row r="236" spans="4:5">
      <c r="D236" s="5"/>
      <c r="E236" s="5"/>
    </row>
    <row r="237" spans="4:5">
      <c r="D237" s="5"/>
      <c r="E237" s="5"/>
    </row>
    <row r="238" spans="4:5">
      <c r="D238" s="5"/>
      <c r="E238" s="5"/>
    </row>
    <row r="239" spans="4:5">
      <c r="D239" s="5"/>
      <c r="E239" s="5"/>
    </row>
    <row r="240" spans="4:5">
      <c r="D240" s="5"/>
      <c r="E240" s="5"/>
    </row>
    <row r="241" spans="4:5">
      <c r="D241" s="5"/>
      <c r="E241" s="5"/>
    </row>
    <row r="242" spans="4:5">
      <c r="D242" s="5"/>
      <c r="E242" s="5"/>
    </row>
    <row r="243" spans="4:5">
      <c r="D243" s="5"/>
      <c r="E243" s="5"/>
    </row>
    <row r="244" spans="4:5">
      <c r="D244" s="5"/>
      <c r="E244" s="5"/>
    </row>
    <row r="245" spans="4:5">
      <c r="D245" s="5"/>
      <c r="E245" s="5"/>
    </row>
    <row r="246" spans="4:5">
      <c r="D246" s="5"/>
      <c r="E246" s="5"/>
    </row>
    <row r="247" spans="4:5">
      <c r="D247" s="5"/>
      <c r="E247" s="5"/>
    </row>
    <row r="248" spans="4:5">
      <c r="D248" s="5"/>
      <c r="E248" s="5"/>
    </row>
    <row r="249" spans="4:5">
      <c r="D249" s="5"/>
      <c r="E249" s="5"/>
    </row>
    <row r="250" spans="4:5">
      <c r="D250" s="5"/>
      <c r="E250" s="5"/>
    </row>
    <row r="251" spans="4:5">
      <c r="D251" s="5"/>
      <c r="E251" s="5"/>
    </row>
    <row r="252" spans="4:5">
      <c r="D252" s="5"/>
      <c r="E252" s="5"/>
    </row>
    <row r="253" spans="4:5">
      <c r="D253" s="5"/>
      <c r="E253" s="5"/>
    </row>
    <row r="254" spans="4:5">
      <c r="D254" s="5"/>
      <c r="E254" s="5"/>
    </row>
    <row r="255" spans="4:5">
      <c r="D255" s="5"/>
      <c r="E255" s="5"/>
    </row>
    <row r="256" spans="4:5">
      <c r="D256" s="5"/>
      <c r="E256" s="5"/>
    </row>
    <row r="257" spans="4:5">
      <c r="D257" s="5"/>
      <c r="E257" s="5"/>
    </row>
    <row r="258" spans="4:5">
      <c r="D258" s="5"/>
      <c r="E258" s="5"/>
    </row>
    <row r="259" spans="4:5">
      <c r="D259" s="5"/>
      <c r="E259" s="5"/>
    </row>
    <row r="260" spans="4:5">
      <c r="D260" s="5"/>
      <c r="E260" s="5"/>
    </row>
    <row r="261" spans="4:5">
      <c r="D261" s="5"/>
      <c r="E261" s="5"/>
    </row>
    <row r="262" spans="4:5">
      <c r="D262" s="5"/>
      <c r="E262" s="5"/>
    </row>
    <row r="263" spans="4:5">
      <c r="D263" s="5"/>
      <c r="E263" s="5"/>
    </row>
    <row r="264" spans="4:5">
      <c r="D264" s="5"/>
      <c r="E264" s="5"/>
    </row>
    <row r="265" spans="4:5">
      <c r="D265" s="5"/>
      <c r="E265" s="5"/>
    </row>
    <row r="266" spans="4:5">
      <c r="D266" s="5"/>
      <c r="E266" s="5"/>
    </row>
    <row r="267" spans="4:5">
      <c r="D267" s="5"/>
      <c r="E267" s="5"/>
    </row>
    <row r="268" spans="4:5">
      <c r="D268" s="5"/>
      <c r="E268" s="5"/>
    </row>
    <row r="269" spans="4:5">
      <c r="D269" s="5"/>
      <c r="E269" s="5"/>
    </row>
    <row r="270" spans="4:5">
      <c r="D270" s="5"/>
      <c r="E270" s="5"/>
    </row>
    <row r="271" spans="4:5">
      <c r="D271" s="5"/>
      <c r="E271" s="5"/>
    </row>
    <row r="272" spans="4:5">
      <c r="D272" s="5"/>
      <c r="E272" s="5"/>
    </row>
    <row r="273" spans="4:5">
      <c r="D273" s="5"/>
      <c r="E273" s="5"/>
    </row>
    <row r="274" spans="4:5">
      <c r="D274" s="5"/>
      <c r="E274" s="5"/>
    </row>
    <row r="275" spans="4:5">
      <c r="D275" s="5"/>
      <c r="E275" s="5"/>
    </row>
    <row r="276" spans="4:5">
      <c r="D276" s="5"/>
      <c r="E276" s="5"/>
    </row>
    <row r="277" spans="4:5">
      <c r="D277" s="5"/>
      <c r="E277" s="5"/>
    </row>
    <row r="278" spans="4:5">
      <c r="D278" s="5"/>
      <c r="E278" s="5"/>
    </row>
    <row r="279" spans="4:5">
      <c r="D279" s="5"/>
      <c r="E279" s="5"/>
    </row>
    <row r="280" spans="4:5">
      <c r="D280" s="5"/>
      <c r="E280" s="5"/>
    </row>
    <row r="281" spans="4:5">
      <c r="D281" s="5"/>
      <c r="E281" s="5"/>
    </row>
    <row r="282" spans="4:5">
      <c r="D282" s="5"/>
      <c r="E282" s="5"/>
    </row>
    <row r="283" spans="4:5">
      <c r="D283" s="5"/>
      <c r="E283" s="5"/>
    </row>
    <row r="284" spans="4:5">
      <c r="D284" s="5"/>
      <c r="E284" s="5"/>
    </row>
    <row r="285" spans="4:5">
      <c r="D285" s="5"/>
      <c r="E285" s="5"/>
    </row>
    <row r="286" spans="4:5">
      <c r="D286" s="5"/>
      <c r="E286" s="5"/>
    </row>
    <row r="287" spans="4:5">
      <c r="D287" s="5"/>
      <c r="E287" s="5"/>
    </row>
    <row r="288" spans="4:5">
      <c r="D288" s="5"/>
      <c r="E288" s="5"/>
    </row>
    <row r="289" spans="4:5">
      <c r="D289" s="5"/>
      <c r="E289" s="5"/>
    </row>
    <row r="290" spans="4:5">
      <c r="D290" s="5"/>
      <c r="E290" s="5"/>
    </row>
    <row r="291" spans="4:5">
      <c r="D291" s="5"/>
      <c r="E291" s="5"/>
    </row>
    <row r="292" spans="4:5">
      <c r="D292" s="5"/>
      <c r="E292" s="5"/>
    </row>
    <row r="293" spans="4:5">
      <c r="D293" s="5"/>
      <c r="E293" s="5"/>
    </row>
    <row r="294" spans="4:5">
      <c r="D294" s="5"/>
      <c r="E294" s="5"/>
    </row>
    <row r="295" spans="4:5">
      <c r="D295" s="5"/>
      <c r="E295" s="5"/>
    </row>
    <row r="296" spans="4:5">
      <c r="D296" s="5"/>
      <c r="E296" s="5"/>
    </row>
    <row r="297" spans="4:5">
      <c r="D297" s="5"/>
      <c r="E297" s="5"/>
    </row>
    <row r="298" spans="4:5">
      <c r="D298" s="5"/>
      <c r="E298" s="5"/>
    </row>
    <row r="299" spans="4:5">
      <c r="D299" s="5"/>
      <c r="E299" s="5"/>
    </row>
    <row r="300" spans="4:5">
      <c r="D300" s="5"/>
      <c r="E300" s="5"/>
    </row>
    <row r="301" spans="4:5">
      <c r="D301" s="5"/>
      <c r="E301" s="5"/>
    </row>
    <row r="302" spans="4:5">
      <c r="D302" s="5"/>
      <c r="E302" s="5"/>
    </row>
    <row r="303" spans="4:5">
      <c r="D303" s="5"/>
      <c r="E303" s="5"/>
    </row>
    <row r="304" spans="4:5">
      <c r="D304" s="5"/>
      <c r="E304" s="5"/>
    </row>
    <row r="305" spans="4:5">
      <c r="D305" s="5"/>
      <c r="E305" s="5"/>
    </row>
    <row r="306" spans="4:5">
      <c r="D306" s="5"/>
      <c r="E306" s="5"/>
    </row>
    <row r="307" spans="4:5">
      <c r="D307" s="5"/>
      <c r="E307" s="5"/>
    </row>
    <row r="308" spans="4:5">
      <c r="D308" s="5"/>
      <c r="E308" s="5"/>
    </row>
    <row r="309" spans="4:5">
      <c r="D309" s="5"/>
      <c r="E309" s="5"/>
    </row>
    <row r="310" spans="4:5">
      <c r="D310" s="5"/>
      <c r="E310" s="5"/>
    </row>
    <row r="311" spans="4:5">
      <c r="D311" s="5"/>
      <c r="E311" s="5"/>
    </row>
    <row r="312" spans="4:5">
      <c r="D312" s="5"/>
      <c r="E312" s="5"/>
    </row>
    <row r="313" spans="4:5">
      <c r="D313" s="5"/>
      <c r="E313" s="5"/>
    </row>
    <row r="314" spans="4:5">
      <c r="D314" s="5"/>
      <c r="E314" s="5"/>
    </row>
    <row r="315" spans="4:5">
      <c r="D315" s="5"/>
      <c r="E315" s="5"/>
    </row>
    <row r="316" spans="4:5">
      <c r="D316" s="5"/>
      <c r="E316" s="5"/>
    </row>
    <row r="317" spans="4:5">
      <c r="D317" s="5"/>
      <c r="E317" s="5"/>
    </row>
    <row r="318" spans="4:5">
      <c r="D318" s="5"/>
      <c r="E318" s="5"/>
    </row>
    <row r="319" spans="4:5">
      <c r="D319" s="5"/>
      <c r="E319" s="5"/>
    </row>
    <row r="320" spans="4:5">
      <c r="D320" s="5"/>
      <c r="E320" s="5"/>
    </row>
    <row r="321" spans="4:5">
      <c r="D321" s="5"/>
      <c r="E321" s="5"/>
    </row>
    <row r="322" spans="4:5">
      <c r="D322" s="5"/>
      <c r="E322" s="5"/>
    </row>
    <row r="323" spans="4:5">
      <c r="D323" s="5"/>
      <c r="E323" s="5"/>
    </row>
    <row r="324" spans="4:5">
      <c r="D324" s="5"/>
      <c r="E324" s="5"/>
    </row>
    <row r="325" spans="4:5">
      <c r="D325" s="5"/>
      <c r="E325" s="5"/>
    </row>
    <row r="326" spans="4:5">
      <c r="D326" s="5"/>
      <c r="E326" s="5"/>
    </row>
    <row r="327" spans="4:5">
      <c r="D327" s="5"/>
      <c r="E327" s="5"/>
    </row>
    <row r="328" spans="4:5">
      <c r="D328" s="5"/>
      <c r="E328" s="5"/>
    </row>
    <row r="329" spans="4:5">
      <c r="D329" s="5"/>
      <c r="E329" s="5"/>
    </row>
    <row r="330" spans="4:5">
      <c r="D330" s="5"/>
      <c r="E330" s="5"/>
    </row>
    <row r="331" spans="4:5">
      <c r="D331" s="5"/>
      <c r="E331" s="5"/>
    </row>
    <row r="332" spans="4:5">
      <c r="D332" s="5"/>
      <c r="E332" s="5"/>
    </row>
    <row r="333" spans="4:5">
      <c r="D333" s="5"/>
      <c r="E333" s="5"/>
    </row>
    <row r="334" spans="4:5">
      <c r="D334" s="5"/>
      <c r="E334" s="5"/>
    </row>
    <row r="335" spans="4:5">
      <c r="D335" s="5"/>
      <c r="E335" s="5"/>
    </row>
    <row r="336" spans="4:5">
      <c r="D336" s="5"/>
      <c r="E336" s="5"/>
    </row>
    <row r="337" spans="4:5">
      <c r="D337" s="5"/>
      <c r="E337" s="5"/>
    </row>
    <row r="338" spans="4:5">
      <c r="D338" s="5"/>
      <c r="E338" s="5"/>
    </row>
    <row r="339" spans="4:5">
      <c r="D339" s="5"/>
      <c r="E339" s="5"/>
    </row>
    <row r="340" spans="4:5">
      <c r="D340" s="5"/>
      <c r="E340" s="5"/>
    </row>
    <row r="341" spans="4:5">
      <c r="D341" s="5"/>
      <c r="E341" s="5"/>
    </row>
    <row r="342" spans="4:5">
      <c r="D342" s="5"/>
      <c r="E342" s="5"/>
    </row>
    <row r="343" spans="4:5">
      <c r="D343" s="5"/>
      <c r="E343" s="5"/>
    </row>
    <row r="344" spans="4:5">
      <c r="D344" s="5"/>
      <c r="E344" s="5"/>
    </row>
    <row r="345" spans="4:5">
      <c r="D345" s="5"/>
      <c r="E345" s="5"/>
    </row>
    <row r="346" spans="4:5">
      <c r="D346" s="5"/>
      <c r="E346" s="5"/>
    </row>
    <row r="347" spans="4:5">
      <c r="D347" s="5"/>
      <c r="E347" s="5"/>
    </row>
    <row r="348" spans="4:5">
      <c r="D348" s="5"/>
      <c r="E348" s="5"/>
    </row>
    <row r="349" spans="4:5">
      <c r="D349" s="5"/>
      <c r="E349" s="5"/>
    </row>
    <row r="350" spans="4:5">
      <c r="D350" s="5"/>
      <c r="E350" s="5"/>
    </row>
    <row r="351" spans="4:5">
      <c r="D351" s="5"/>
      <c r="E351" s="5"/>
    </row>
    <row r="352" spans="4:5">
      <c r="D352" s="5"/>
      <c r="E352" s="5"/>
    </row>
    <row r="353" spans="4:5">
      <c r="D353" s="5"/>
      <c r="E353" s="5"/>
    </row>
    <row r="354" spans="4:5">
      <c r="D354" s="5"/>
      <c r="E354" s="5"/>
    </row>
    <row r="355" spans="4:5">
      <c r="D355" s="5"/>
      <c r="E355" s="5"/>
    </row>
    <row r="356" spans="4:5">
      <c r="D356" s="5"/>
      <c r="E356" s="5"/>
    </row>
    <row r="357" spans="4:5">
      <c r="D357" s="5"/>
      <c r="E357" s="5"/>
    </row>
    <row r="358" spans="4:5">
      <c r="D358" s="5"/>
      <c r="E358" s="5"/>
    </row>
    <row r="359" spans="4:5">
      <c r="D359" s="5"/>
      <c r="E359" s="5"/>
    </row>
    <row r="360" spans="4:5">
      <c r="D360" s="5"/>
      <c r="E360" s="5"/>
    </row>
    <row r="361" spans="4:5">
      <c r="D361" s="5"/>
      <c r="E361" s="5"/>
    </row>
    <row r="362" spans="4:5">
      <c r="D362" s="5"/>
      <c r="E362" s="5"/>
    </row>
    <row r="363" spans="4:5">
      <c r="D363" s="5"/>
      <c r="E363" s="5"/>
    </row>
    <row r="364" spans="4:5">
      <c r="D364" s="5"/>
      <c r="E364" s="5"/>
    </row>
    <row r="365" spans="4:5">
      <c r="D365" s="5"/>
      <c r="E365" s="5"/>
    </row>
    <row r="366" spans="4:5">
      <c r="D366" s="5"/>
      <c r="E366" s="5"/>
    </row>
    <row r="367" spans="4:5">
      <c r="D367" s="5"/>
      <c r="E367" s="5"/>
    </row>
    <row r="368" spans="4:5">
      <c r="D368" s="5"/>
      <c r="E368" s="5"/>
    </row>
    <row r="369" spans="4:5">
      <c r="D369" s="5"/>
      <c r="E369" s="5"/>
    </row>
    <row r="370" spans="4:5">
      <c r="D370" s="5"/>
      <c r="E370" s="5"/>
    </row>
    <row r="371" spans="4:5">
      <c r="D371" s="5"/>
      <c r="E371" s="5"/>
    </row>
    <row r="372" spans="4:5">
      <c r="D372" s="5"/>
      <c r="E372" s="5"/>
    </row>
    <row r="373" spans="4:5">
      <c r="D373" s="5"/>
      <c r="E373" s="5"/>
    </row>
    <row r="374" spans="4:5">
      <c r="D374" s="5"/>
      <c r="E374" s="5"/>
    </row>
    <row r="375" spans="4:5">
      <c r="D375" s="5"/>
      <c r="E375" s="5"/>
    </row>
    <row r="376" spans="4:5">
      <c r="D376" s="5"/>
      <c r="E376" s="5"/>
    </row>
    <row r="377" spans="4:5">
      <c r="D377" s="5"/>
      <c r="E377" s="5"/>
    </row>
    <row r="378" spans="4:5">
      <c r="D378" s="5"/>
      <c r="E378" s="5"/>
    </row>
    <row r="379" spans="4:5">
      <c r="D379" s="5"/>
      <c r="E379" s="5"/>
    </row>
    <row r="380" spans="4:5">
      <c r="D380" s="5"/>
      <c r="E380" s="5"/>
    </row>
    <row r="381" spans="4:5">
      <c r="D381" s="5"/>
      <c r="E381" s="5"/>
    </row>
    <row r="382" spans="4:5">
      <c r="D382" s="5"/>
      <c r="E382" s="5"/>
    </row>
    <row r="383" spans="4:5">
      <c r="D383" s="5"/>
      <c r="E383" s="5"/>
    </row>
    <row r="384" spans="4:5">
      <c r="D384" s="5"/>
      <c r="E384" s="5"/>
    </row>
    <row r="385" spans="4:5">
      <c r="D385" s="5"/>
      <c r="E385" s="5"/>
    </row>
    <row r="386" spans="4:5">
      <c r="D386" s="5"/>
      <c r="E386" s="5"/>
    </row>
    <row r="387" spans="4:5">
      <c r="D387" s="5"/>
      <c r="E387" s="5"/>
    </row>
    <row r="388" spans="4:5">
      <c r="D388" s="5"/>
      <c r="E388" s="5"/>
    </row>
    <row r="389" spans="4:5">
      <c r="D389" s="5"/>
      <c r="E389" s="5"/>
    </row>
    <row r="390" spans="4:5">
      <c r="D390" s="5"/>
      <c r="E390" s="5"/>
    </row>
    <row r="391" spans="4:5">
      <c r="D391" s="5"/>
      <c r="E391" s="5"/>
    </row>
    <row r="392" spans="4:5">
      <c r="D392" s="5"/>
      <c r="E392" s="5"/>
    </row>
    <row r="393" spans="4:5">
      <c r="D393" s="5"/>
      <c r="E393" s="5"/>
    </row>
    <row r="394" spans="4:5">
      <c r="D394" s="5"/>
      <c r="E394" s="5"/>
    </row>
    <row r="395" spans="4:5">
      <c r="D395" s="5"/>
      <c r="E395" s="5"/>
    </row>
    <row r="396" spans="4:5">
      <c r="D396" s="5"/>
      <c r="E396" s="5"/>
    </row>
  </sheetData>
  <mergeCells count="4">
    <mergeCell ref="A4:R4"/>
    <mergeCell ref="A5:R5"/>
    <mergeCell ref="A6:R6"/>
    <mergeCell ref="A7:R7"/>
  </mergeCells>
  <phoneticPr fontId="5" type="noConversion"/>
  <pageMargins left="0.75" right="0.75" top="1" bottom="1" header="0.5" footer="0.5"/>
  <pageSetup scale="54" orientation="landscape" r:id="rId1"/>
  <headerFooter alignWithMargins="0"/>
  <ignoredErrors>
    <ignoredError sqref="P15:P21 P26:P36 P39:P45 P51:P6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13"/>
    <pageSetUpPr fitToPage="1"/>
  </sheetPr>
  <dimension ref="A1:Y48"/>
  <sheetViews>
    <sheetView workbookViewId="0">
      <selection activeCell="A4" sqref="A4:D4"/>
    </sheetView>
  </sheetViews>
  <sheetFormatPr defaultRowHeight="12.75"/>
  <cols>
    <col min="1" max="1" width="4.42578125" bestFit="1" customWidth="1"/>
    <col min="2" max="2" width="71.42578125" bestFit="1" customWidth="1"/>
    <col min="3" max="3" width="9.28515625" style="2" bestFit="1" customWidth="1"/>
    <col min="4" max="4" width="14" bestFit="1" customWidth="1"/>
    <col min="5" max="5" width="9.7109375" bestFit="1" customWidth="1"/>
  </cols>
  <sheetData>
    <row r="1" spans="1:25">
      <c r="D1" t="str">
        <f>A!D1</f>
        <v>Docket No. RP16-299-000</v>
      </c>
    </row>
    <row r="2" spans="1:25">
      <c r="D2" t="s">
        <v>383</v>
      </c>
    </row>
    <row r="3" spans="1:25">
      <c r="D3" t="s">
        <v>67</v>
      </c>
    </row>
    <row r="4" spans="1:25">
      <c r="A4" s="927" t="str">
        <f>'Title Input and Macros'!B6</f>
        <v>Tuscarora Gas Transmission Company</v>
      </c>
      <c r="B4" s="927"/>
      <c r="C4" s="927"/>
      <c r="D4" s="927"/>
    </row>
    <row r="5" spans="1:25">
      <c r="A5" s="927" t="s">
        <v>88</v>
      </c>
      <c r="B5" s="927"/>
      <c r="C5" s="927"/>
      <c r="D5" s="927"/>
    </row>
    <row r="6" spans="1:25">
      <c r="A6" s="927" t="str">
        <f>A!A6:D6</f>
        <v>For the Twelve Months Ended December 31, 2015, As Adjusted</v>
      </c>
      <c r="B6" s="927"/>
      <c r="C6" s="927"/>
      <c r="D6" s="927"/>
    </row>
    <row r="7" spans="1:25">
      <c r="A7" s="2"/>
      <c r="B7" s="2"/>
      <c r="D7" s="2"/>
    </row>
    <row r="9" spans="1:25">
      <c r="C9" s="2" t="s">
        <v>174</v>
      </c>
    </row>
    <row r="10" spans="1:25">
      <c r="A10" t="s">
        <v>352</v>
      </c>
      <c r="C10" s="2" t="s">
        <v>395</v>
      </c>
      <c r="D10" s="604" t="s">
        <v>356</v>
      </c>
    </row>
    <row r="11" spans="1:25">
      <c r="A11" s="1" t="s">
        <v>353</v>
      </c>
      <c r="B11" s="1" t="s">
        <v>354</v>
      </c>
      <c r="C11" s="3" t="s">
        <v>355</v>
      </c>
      <c r="D11" s="3" t="s">
        <v>196</v>
      </c>
    </row>
    <row r="12" spans="1:25">
      <c r="B12" s="2" t="s">
        <v>361</v>
      </c>
      <c r="C12" s="2" t="s">
        <v>362</v>
      </c>
      <c r="D12" s="2" t="s">
        <v>366</v>
      </c>
    </row>
    <row r="13" spans="1:25">
      <c r="B13" s="4"/>
      <c r="D13" s="2" t="s">
        <v>365</v>
      </c>
    </row>
    <row r="14" spans="1:25">
      <c r="A14">
        <v>1</v>
      </c>
      <c r="B14" s="51" t="s">
        <v>85</v>
      </c>
      <c r="D14" s="68"/>
      <c r="E14" s="5"/>
      <c r="F14" s="5"/>
      <c r="G14" s="5"/>
      <c r="H14" s="5"/>
      <c r="I14" s="5"/>
      <c r="J14" s="5"/>
      <c r="K14" s="5"/>
      <c r="L14" s="5"/>
      <c r="M14" s="5"/>
      <c r="N14" s="5"/>
      <c r="O14" s="5"/>
      <c r="P14" s="5"/>
      <c r="Q14" s="5"/>
      <c r="R14" s="5"/>
      <c r="S14" s="5"/>
      <c r="T14" s="5"/>
      <c r="U14" s="5"/>
      <c r="V14" s="5"/>
      <c r="W14" s="5"/>
      <c r="X14" s="5"/>
      <c r="Y14" s="5"/>
    </row>
    <row r="15" spans="1:25">
      <c r="A15">
        <f>A14+1</f>
        <v>2</v>
      </c>
      <c r="B15" t="s">
        <v>388</v>
      </c>
      <c r="C15" s="2" t="s">
        <v>390</v>
      </c>
      <c r="D15" s="297">
        <f>'Sched C-1'!G47</f>
        <v>205647813.58000001</v>
      </c>
      <c r="E15" s="5"/>
      <c r="F15" s="5"/>
      <c r="G15" s="5"/>
      <c r="H15" s="5"/>
      <c r="I15" s="5"/>
      <c r="J15" s="5"/>
      <c r="K15" s="5"/>
      <c r="L15" s="5"/>
      <c r="M15" s="5"/>
      <c r="N15" s="5"/>
      <c r="O15" s="5"/>
      <c r="P15" s="5"/>
      <c r="Q15" s="5"/>
      <c r="R15" s="5"/>
      <c r="S15" s="5"/>
      <c r="T15" s="5"/>
      <c r="U15" s="5"/>
      <c r="V15" s="5"/>
      <c r="W15" s="5"/>
      <c r="X15" s="5"/>
      <c r="Y15" s="5"/>
    </row>
    <row r="16" spans="1:25" hidden="1">
      <c r="A16">
        <f>A15+1</f>
        <v>3</v>
      </c>
      <c r="B16" t="s">
        <v>389</v>
      </c>
      <c r="C16" s="2" t="s">
        <v>91</v>
      </c>
      <c r="D16" s="297">
        <v>0</v>
      </c>
      <c r="E16" s="5"/>
      <c r="F16" s="5"/>
      <c r="G16" s="5"/>
      <c r="H16" s="5"/>
      <c r="I16" s="5"/>
      <c r="J16" s="5"/>
      <c r="K16" s="5"/>
      <c r="L16" s="5"/>
      <c r="M16" s="5"/>
      <c r="N16" s="5"/>
      <c r="O16" s="5"/>
      <c r="P16" s="5"/>
      <c r="Q16" s="5"/>
      <c r="R16" s="5"/>
      <c r="S16" s="5"/>
      <c r="T16" s="5"/>
      <c r="U16" s="5"/>
      <c r="V16" s="5"/>
      <c r="W16" s="5"/>
      <c r="X16" s="5"/>
      <c r="Y16" s="5"/>
    </row>
    <row r="17" spans="1:25" hidden="1">
      <c r="A17">
        <f>A16+1</f>
        <v>4</v>
      </c>
      <c r="B17" t="s">
        <v>86</v>
      </c>
      <c r="C17" s="2" t="s">
        <v>91</v>
      </c>
      <c r="D17" s="297">
        <v>0</v>
      </c>
      <c r="E17" s="5"/>
      <c r="F17" s="5"/>
      <c r="G17" s="5"/>
      <c r="H17" s="5"/>
      <c r="I17" s="5"/>
      <c r="J17" s="5"/>
      <c r="K17" s="5"/>
      <c r="L17" s="5"/>
      <c r="M17" s="5"/>
      <c r="N17" s="5"/>
      <c r="O17" s="5"/>
      <c r="P17" s="5"/>
      <c r="Q17" s="5"/>
      <c r="R17" s="5"/>
      <c r="S17" s="5"/>
      <c r="T17" s="5"/>
      <c r="U17" s="5"/>
      <c r="V17" s="5"/>
      <c r="W17" s="5"/>
      <c r="X17" s="5"/>
      <c r="Y17" s="5"/>
    </row>
    <row r="18" spans="1:25">
      <c r="A18">
        <v>3</v>
      </c>
      <c r="B18" s="42" t="s">
        <v>87</v>
      </c>
      <c r="D18" s="144">
        <f>SUM(D15:D17)</f>
        <v>205647813.58000001</v>
      </c>
      <c r="E18" s="5"/>
      <c r="F18" s="5"/>
      <c r="G18" s="5"/>
      <c r="H18" s="5"/>
      <c r="I18" s="5"/>
      <c r="J18" s="5"/>
      <c r="K18" s="5"/>
      <c r="L18" s="5"/>
      <c r="M18" s="5"/>
      <c r="N18" s="5"/>
      <c r="O18" s="5"/>
      <c r="P18" s="5"/>
      <c r="Q18" s="5"/>
      <c r="R18" s="5"/>
      <c r="S18" s="5"/>
      <c r="T18" s="5"/>
      <c r="U18" s="5"/>
      <c r="V18" s="5"/>
      <c r="W18" s="5"/>
      <c r="X18" s="5"/>
      <c r="Y18" s="5"/>
    </row>
    <row r="19" spans="1:25">
      <c r="A19">
        <f>+A18+1</f>
        <v>4</v>
      </c>
      <c r="B19" s="42" t="s">
        <v>89</v>
      </c>
      <c r="D19" s="68"/>
      <c r="E19" s="5"/>
      <c r="F19" s="5"/>
      <c r="G19" s="5"/>
      <c r="H19" s="5"/>
      <c r="I19" s="5"/>
      <c r="J19" s="5"/>
      <c r="K19" s="5"/>
      <c r="L19" s="5"/>
      <c r="M19" s="5"/>
      <c r="N19" s="5"/>
      <c r="O19" s="5"/>
      <c r="P19" s="5"/>
      <c r="Q19" s="5"/>
      <c r="R19" s="5"/>
      <c r="S19" s="5"/>
      <c r="T19" s="5"/>
      <c r="U19" s="5"/>
      <c r="V19" s="5"/>
      <c r="W19" s="5"/>
      <c r="X19" s="5"/>
      <c r="Y19" s="5"/>
    </row>
    <row r="20" spans="1:25">
      <c r="A20">
        <f t="shared" ref="A20:A36" si="0">A19+1</f>
        <v>5</v>
      </c>
      <c r="B20" t="s">
        <v>58</v>
      </c>
      <c r="C20" s="2" t="s">
        <v>386</v>
      </c>
      <c r="D20" s="297">
        <f>D!K16+D!K17+D!K27+D!K22</f>
        <v>103666060.49368484</v>
      </c>
      <c r="E20" s="5"/>
      <c r="F20" s="5"/>
      <c r="G20" s="5"/>
      <c r="H20" s="5"/>
      <c r="I20" s="5"/>
      <c r="J20" s="5"/>
      <c r="K20" s="5"/>
      <c r="L20" s="5"/>
      <c r="M20" s="5"/>
      <c r="N20" s="5"/>
      <c r="O20" s="5"/>
      <c r="P20" s="5"/>
      <c r="Q20" s="5"/>
      <c r="R20" s="5"/>
      <c r="S20" s="5"/>
      <c r="T20" s="5"/>
      <c r="U20" s="5"/>
      <c r="V20" s="5"/>
      <c r="W20" s="5"/>
      <c r="X20" s="5"/>
      <c r="Y20" s="5"/>
    </row>
    <row r="21" spans="1:25">
      <c r="A21">
        <f t="shared" si="0"/>
        <v>6</v>
      </c>
      <c r="B21" t="s">
        <v>101</v>
      </c>
      <c r="C21" s="2" t="s">
        <v>386</v>
      </c>
      <c r="D21" s="297">
        <f>D!K18</f>
        <v>1631475.3538510001</v>
      </c>
      <c r="E21" s="5"/>
      <c r="F21" s="5"/>
      <c r="G21" s="5"/>
      <c r="H21" s="5"/>
      <c r="I21" s="5"/>
      <c r="J21" s="5"/>
      <c r="K21" s="5"/>
      <c r="L21" s="5"/>
      <c r="M21" s="5"/>
      <c r="N21" s="5"/>
      <c r="O21" s="5"/>
      <c r="P21" s="5"/>
      <c r="Q21" s="5"/>
      <c r="R21" s="5"/>
      <c r="S21" s="5"/>
      <c r="T21" s="5"/>
      <c r="U21" s="5"/>
      <c r="V21" s="5"/>
      <c r="W21" s="5"/>
      <c r="X21" s="5"/>
      <c r="Y21" s="5"/>
    </row>
    <row r="22" spans="1:25" hidden="1">
      <c r="A22">
        <f t="shared" si="0"/>
        <v>7</v>
      </c>
      <c r="B22" t="s">
        <v>344</v>
      </c>
      <c r="C22" s="2" t="s">
        <v>92</v>
      </c>
      <c r="D22" s="297">
        <v>0</v>
      </c>
      <c r="E22" s="5"/>
      <c r="F22" s="5"/>
      <c r="G22" s="5"/>
      <c r="H22" s="5"/>
      <c r="I22" s="5"/>
      <c r="J22" s="5"/>
      <c r="K22" s="5"/>
      <c r="L22" s="5"/>
      <c r="M22" s="5"/>
      <c r="N22" s="5"/>
      <c r="O22" s="5"/>
      <c r="P22" s="5"/>
      <c r="Q22" s="5"/>
      <c r="R22" s="5"/>
      <c r="S22" s="5"/>
      <c r="T22" s="5"/>
      <c r="U22" s="5"/>
      <c r="V22" s="5"/>
      <c r="W22" s="5"/>
      <c r="X22" s="5"/>
      <c r="Y22" s="5"/>
    </row>
    <row r="23" spans="1:25" hidden="1">
      <c r="A23">
        <f t="shared" si="0"/>
        <v>8</v>
      </c>
      <c r="B23" t="s">
        <v>345</v>
      </c>
      <c r="C23" s="2" t="s">
        <v>92</v>
      </c>
      <c r="D23" s="297">
        <v>0</v>
      </c>
      <c r="E23" s="5"/>
      <c r="F23" s="5"/>
      <c r="G23" s="5"/>
      <c r="H23" s="5"/>
      <c r="I23" s="5"/>
      <c r="J23" s="5"/>
      <c r="K23" s="5"/>
      <c r="L23" s="5"/>
      <c r="M23" s="5"/>
      <c r="N23" s="5"/>
      <c r="O23" s="5"/>
      <c r="P23" s="5"/>
      <c r="Q23" s="5"/>
      <c r="R23" s="5"/>
      <c r="S23" s="5"/>
      <c r="T23" s="5"/>
      <c r="U23" s="5"/>
      <c r="V23" s="5"/>
      <c r="W23" s="5"/>
      <c r="X23" s="5"/>
      <c r="Y23" s="5"/>
    </row>
    <row r="24" spans="1:25" hidden="1">
      <c r="A24">
        <f t="shared" si="0"/>
        <v>9</v>
      </c>
      <c r="B24" t="s">
        <v>346</v>
      </c>
      <c r="C24" s="2" t="s">
        <v>92</v>
      </c>
      <c r="D24" s="297">
        <v>0</v>
      </c>
      <c r="E24" s="5"/>
      <c r="F24" s="5"/>
      <c r="G24" s="5"/>
      <c r="H24" s="5"/>
      <c r="I24" s="5"/>
      <c r="J24" s="5"/>
      <c r="K24" s="5">
        <v>12</v>
      </c>
      <c r="L24" s="5"/>
      <c r="M24" s="5"/>
      <c r="N24" s="5"/>
      <c r="O24" s="5"/>
      <c r="P24" s="5"/>
      <c r="Q24" s="5"/>
      <c r="R24" s="5"/>
      <c r="S24" s="5"/>
      <c r="T24" s="5"/>
      <c r="U24" s="5"/>
      <c r="V24" s="5"/>
      <c r="W24" s="5"/>
      <c r="X24" s="5"/>
      <c r="Y24" s="5"/>
    </row>
    <row r="25" spans="1:25">
      <c r="A25">
        <v>7</v>
      </c>
      <c r="B25" s="42" t="s">
        <v>1065</v>
      </c>
      <c r="D25" s="144">
        <f>SUM(D20:D24)</f>
        <v>105297535.84753585</v>
      </c>
      <c r="E25" s="5"/>
      <c r="F25" s="5"/>
      <c r="G25" s="5"/>
      <c r="H25" s="5"/>
      <c r="I25" s="5"/>
      <c r="J25" s="5"/>
      <c r="K25" s="5"/>
      <c r="L25" s="5"/>
      <c r="M25" s="5"/>
      <c r="N25" s="5"/>
      <c r="O25" s="5"/>
      <c r="P25" s="5"/>
      <c r="Q25" s="5"/>
      <c r="R25" s="5"/>
      <c r="S25" s="5"/>
      <c r="T25" s="5"/>
      <c r="U25" s="5"/>
      <c r="V25" s="5"/>
      <c r="W25" s="5"/>
      <c r="X25" s="5"/>
      <c r="Y25" s="5"/>
    </row>
    <row r="26" spans="1:25">
      <c r="B26" s="42"/>
      <c r="D26" s="127"/>
      <c r="E26" s="5"/>
      <c r="F26" s="5"/>
      <c r="G26" s="5"/>
      <c r="H26" s="5"/>
      <c r="I26" s="5"/>
      <c r="J26" s="5"/>
      <c r="K26" s="5"/>
      <c r="L26" s="5"/>
      <c r="M26" s="5"/>
      <c r="N26" s="5"/>
      <c r="O26" s="5"/>
      <c r="P26" s="5"/>
      <c r="Q26" s="5"/>
      <c r="R26" s="5"/>
      <c r="S26" s="5"/>
      <c r="T26" s="5"/>
      <c r="U26" s="5"/>
      <c r="V26" s="5"/>
      <c r="W26" s="5"/>
      <c r="X26" s="5"/>
      <c r="Y26" s="5"/>
    </row>
    <row r="27" spans="1:25">
      <c r="A27">
        <f>A25+1</f>
        <v>8</v>
      </c>
      <c r="B27" s="19" t="s">
        <v>90</v>
      </c>
      <c r="D27" s="297">
        <f>+D18-D25</f>
        <v>100350277.73246416</v>
      </c>
      <c r="E27" s="5"/>
      <c r="F27" s="5"/>
      <c r="G27" s="5"/>
      <c r="H27" s="5"/>
      <c r="I27" s="5"/>
      <c r="J27" s="5"/>
      <c r="K27" s="5"/>
      <c r="L27" s="5"/>
      <c r="M27" s="5"/>
      <c r="N27" s="5"/>
      <c r="O27" s="5"/>
      <c r="P27" s="5"/>
      <c r="Q27" s="5"/>
      <c r="R27" s="5"/>
      <c r="S27" s="5"/>
      <c r="T27" s="5"/>
      <c r="U27" s="5"/>
      <c r="V27" s="5"/>
      <c r="W27" s="5"/>
      <c r="X27" s="5"/>
      <c r="Y27" s="5"/>
    </row>
    <row r="28" spans="1:25">
      <c r="A28">
        <f>A27+1</f>
        <v>9</v>
      </c>
      <c r="B28" t="s">
        <v>384</v>
      </c>
      <c r="C28" s="2" t="s">
        <v>387</v>
      </c>
      <c r="D28" s="297">
        <f>E!D15</f>
        <v>59330</v>
      </c>
      <c r="E28" s="5"/>
      <c r="F28" s="5"/>
      <c r="G28" s="5"/>
      <c r="H28" s="5"/>
      <c r="I28" s="5"/>
      <c r="J28" s="5"/>
      <c r="K28" s="5"/>
      <c r="L28" s="5"/>
      <c r="M28" s="5"/>
      <c r="N28" s="5"/>
      <c r="O28" s="5"/>
      <c r="P28" s="5"/>
      <c r="Q28" s="5"/>
      <c r="R28" s="5"/>
      <c r="S28" s="5"/>
      <c r="T28" s="5"/>
      <c r="U28" s="5"/>
      <c r="V28" s="5"/>
      <c r="W28" s="5"/>
      <c r="X28" s="5"/>
      <c r="Y28" s="5"/>
    </row>
    <row r="29" spans="1:25">
      <c r="A29">
        <f t="shared" si="0"/>
        <v>10</v>
      </c>
      <c r="B29" t="s">
        <v>304</v>
      </c>
      <c r="C29" s="2" t="s">
        <v>193</v>
      </c>
      <c r="D29" s="297">
        <f>'Sched B-2 pg 1'!N33</f>
        <v>0</v>
      </c>
      <c r="E29" s="5"/>
      <c r="F29" s="5"/>
      <c r="G29" s="5"/>
      <c r="H29" s="5"/>
      <c r="I29" s="5"/>
      <c r="J29" s="5"/>
      <c r="K29" s="5"/>
      <c r="L29" s="5"/>
      <c r="M29" s="5"/>
      <c r="N29" s="5"/>
      <c r="O29" s="5"/>
      <c r="P29" s="5"/>
      <c r="Q29" s="5"/>
      <c r="R29" s="5"/>
      <c r="S29" s="5"/>
      <c r="T29" s="5"/>
      <c r="U29" s="5"/>
      <c r="V29" s="5"/>
      <c r="W29" s="5"/>
      <c r="X29" s="5"/>
      <c r="Y29" s="5"/>
    </row>
    <row r="30" spans="1:25">
      <c r="A30">
        <f t="shared" si="0"/>
        <v>11</v>
      </c>
      <c r="B30" t="s">
        <v>283</v>
      </c>
      <c r="C30" s="604" t="s">
        <v>193</v>
      </c>
      <c r="D30" s="297">
        <f>'Sched B-2 pg 2'!N33</f>
        <v>0</v>
      </c>
      <c r="E30" s="5"/>
      <c r="F30" s="5"/>
      <c r="G30" s="5"/>
      <c r="H30" s="5"/>
      <c r="I30" s="5"/>
      <c r="J30" s="5"/>
      <c r="K30" s="5"/>
      <c r="L30" s="5"/>
      <c r="M30" s="5"/>
      <c r="N30" s="5"/>
      <c r="O30" s="5"/>
      <c r="P30" s="5"/>
      <c r="Q30" s="5"/>
      <c r="R30" s="5"/>
      <c r="S30" s="5"/>
      <c r="T30" s="5"/>
      <c r="U30" s="5"/>
      <c r="V30" s="5"/>
      <c r="W30" s="5"/>
      <c r="X30" s="5"/>
      <c r="Y30" s="5"/>
    </row>
    <row r="31" spans="1:25">
      <c r="A31">
        <f t="shared" si="0"/>
        <v>12</v>
      </c>
      <c r="B31" t="s">
        <v>385</v>
      </c>
      <c r="C31" s="604" t="s">
        <v>465</v>
      </c>
      <c r="D31" s="297">
        <f>'Sched B-1 Pg 2'!H30</f>
        <v>-27167494</v>
      </c>
      <c r="E31" s="5"/>
      <c r="F31" s="5"/>
      <c r="G31" s="5"/>
      <c r="H31" s="5"/>
      <c r="I31" s="5"/>
      <c r="J31" s="5"/>
      <c r="K31" s="5"/>
      <c r="L31" s="5"/>
      <c r="M31" s="5"/>
      <c r="N31" s="5"/>
      <c r="O31" s="5"/>
      <c r="P31" s="5"/>
      <c r="Q31" s="5"/>
      <c r="R31" s="5"/>
      <c r="S31" s="5"/>
      <c r="T31" s="5"/>
      <c r="U31" s="5"/>
      <c r="V31" s="5"/>
      <c r="W31" s="5"/>
      <c r="X31" s="5"/>
      <c r="Y31" s="5"/>
    </row>
    <row r="32" spans="1:25" ht="13.5" thickBot="1">
      <c r="A32">
        <f t="shared" si="0"/>
        <v>13</v>
      </c>
      <c r="B32" t="s">
        <v>467</v>
      </c>
      <c r="D32" s="69">
        <f>SUM(D27:D31)</f>
        <v>73242113.732464164</v>
      </c>
      <c r="E32" s="5"/>
      <c r="F32" s="5"/>
      <c r="G32" s="5"/>
      <c r="H32" s="5"/>
      <c r="I32" s="5"/>
      <c r="J32" s="5"/>
      <c r="K32" s="5"/>
      <c r="L32" s="5"/>
      <c r="M32" s="5"/>
      <c r="N32" s="5"/>
      <c r="O32" s="5"/>
      <c r="P32" s="5"/>
      <c r="Q32" s="5"/>
      <c r="R32" s="5"/>
      <c r="S32" s="5"/>
      <c r="T32" s="5"/>
      <c r="U32" s="5"/>
      <c r="V32" s="5"/>
      <c r="W32" s="5"/>
      <c r="X32" s="5"/>
      <c r="Y32" s="5"/>
    </row>
    <row r="33" spans="1:25" ht="13.5" thickTop="1">
      <c r="B33" s="1" t="s">
        <v>468</v>
      </c>
      <c r="D33" s="68"/>
      <c r="E33" s="5"/>
      <c r="F33" s="5"/>
      <c r="G33" s="5"/>
      <c r="H33" s="5"/>
      <c r="I33" s="5"/>
      <c r="J33" s="5"/>
      <c r="K33" s="5"/>
      <c r="L33" s="5"/>
      <c r="M33" s="5"/>
      <c r="N33" s="5"/>
      <c r="O33" s="5"/>
      <c r="P33" s="5"/>
      <c r="Q33" s="5"/>
      <c r="R33" s="5"/>
      <c r="S33" s="5"/>
      <c r="T33" s="5"/>
      <c r="U33" s="5"/>
      <c r="V33" s="5"/>
      <c r="W33" s="5"/>
      <c r="X33" s="5"/>
      <c r="Y33" s="5"/>
    </row>
    <row r="34" spans="1:25">
      <c r="A34">
        <f>A32+1</f>
        <v>14</v>
      </c>
      <c r="B34" s="631" t="str">
        <f>"Debt Cost @ "&amp;TEXT('Title Input and Macros'!B34,"0.00%")</f>
        <v>Debt Cost @ 1.06%</v>
      </c>
      <c r="C34" s="2" t="s">
        <v>458</v>
      </c>
      <c r="D34" s="68">
        <f>+D32*'Title Input and Macros'!$B34</f>
        <v>776366.40556412016</v>
      </c>
      <c r="E34" s="5"/>
      <c r="F34" s="5"/>
      <c r="G34" s="5"/>
      <c r="H34" s="5"/>
      <c r="I34" s="5"/>
      <c r="J34" s="5"/>
      <c r="K34" s="5"/>
      <c r="L34" s="5"/>
      <c r="M34" s="5"/>
      <c r="N34" s="5"/>
      <c r="O34" s="5"/>
      <c r="P34" s="5"/>
      <c r="Q34" s="5"/>
      <c r="R34" s="5"/>
      <c r="S34" s="5"/>
      <c r="T34" s="5"/>
      <c r="U34" s="5"/>
      <c r="V34" s="5"/>
      <c r="W34" s="5"/>
      <c r="X34" s="5"/>
      <c r="Y34" s="5"/>
    </row>
    <row r="35" spans="1:25">
      <c r="A35">
        <f t="shared" si="0"/>
        <v>15</v>
      </c>
      <c r="B35" s="72" t="str">
        <f>"Equity Cost @ "&amp;TEXT('Title Input and Macros'!B35,"0.00%")</f>
        <v>Equity Cost @ 10.18%</v>
      </c>
      <c r="C35" s="2" t="s">
        <v>458</v>
      </c>
      <c r="D35" s="68">
        <f>+D32*'Title Input and Macros'!$B35</f>
        <v>7456047.1779648522</v>
      </c>
      <c r="E35" s="5"/>
      <c r="F35" s="5"/>
      <c r="G35" s="5"/>
      <c r="H35" s="5"/>
      <c r="I35" s="5"/>
      <c r="J35" s="5"/>
      <c r="K35" s="5"/>
      <c r="L35" s="5"/>
      <c r="M35" s="5"/>
      <c r="N35" s="5"/>
      <c r="O35" s="5"/>
      <c r="P35" s="5"/>
      <c r="Q35" s="5"/>
      <c r="R35" s="5"/>
      <c r="S35" s="5"/>
      <c r="T35" s="5"/>
      <c r="U35" s="5"/>
      <c r="V35" s="5"/>
      <c r="W35" s="5"/>
      <c r="X35" s="5"/>
      <c r="Y35" s="5"/>
    </row>
    <row r="36" spans="1:25" ht="13.5" thickBot="1">
      <c r="A36">
        <f t="shared" si="0"/>
        <v>16</v>
      </c>
      <c r="B36" s="72" t="s">
        <v>466</v>
      </c>
      <c r="D36" s="69">
        <f>SUM(D34:D35)</f>
        <v>8232413.5835289722</v>
      </c>
      <c r="E36" s="5"/>
      <c r="F36" s="5"/>
      <c r="G36" s="5"/>
      <c r="H36" s="5"/>
      <c r="I36" s="5"/>
      <c r="J36" s="5"/>
      <c r="K36" s="5"/>
      <c r="L36" s="5"/>
      <c r="M36" s="5"/>
      <c r="N36" s="5"/>
      <c r="O36" s="5"/>
      <c r="P36" s="5"/>
      <c r="Q36" s="5"/>
      <c r="R36" s="5"/>
      <c r="S36" s="5"/>
      <c r="T36" s="5"/>
      <c r="U36" s="5"/>
      <c r="V36" s="5"/>
      <c r="W36" s="5"/>
      <c r="X36" s="5"/>
      <c r="Y36" s="5"/>
    </row>
    <row r="37" spans="1:25" ht="13.5" thickTop="1">
      <c r="D37" s="5"/>
      <c r="E37" s="5"/>
      <c r="F37" s="5"/>
      <c r="G37" s="5"/>
      <c r="H37" s="5"/>
      <c r="I37" s="5"/>
      <c r="J37" s="5"/>
      <c r="K37" s="5"/>
      <c r="L37" s="5"/>
      <c r="M37" s="5"/>
      <c r="N37" s="5"/>
      <c r="O37" s="5"/>
      <c r="P37" s="5"/>
      <c r="Q37" s="5"/>
      <c r="R37" s="5"/>
      <c r="S37" s="5"/>
      <c r="T37" s="5"/>
      <c r="U37" s="5"/>
      <c r="V37" s="5"/>
      <c r="W37" s="5"/>
      <c r="X37" s="5"/>
      <c r="Y37" s="5"/>
    </row>
    <row r="38" spans="1:25">
      <c r="D38" s="5"/>
      <c r="E38" s="5"/>
      <c r="F38" s="5"/>
      <c r="G38" s="5"/>
      <c r="H38" s="5"/>
      <c r="I38" s="5"/>
      <c r="J38" s="5"/>
      <c r="K38" s="5"/>
      <c r="L38" s="5"/>
      <c r="M38" s="5"/>
      <c r="N38" s="5"/>
      <c r="O38" s="5"/>
      <c r="P38" s="5"/>
      <c r="Q38" s="5"/>
      <c r="R38" s="5"/>
      <c r="S38" s="5"/>
      <c r="T38" s="5"/>
      <c r="U38" s="5"/>
      <c r="V38" s="5"/>
      <c r="W38" s="5"/>
      <c r="X38" s="5"/>
      <c r="Y38" s="5"/>
    </row>
    <row r="39" spans="1:25">
      <c r="B39" s="142"/>
      <c r="D39" s="5"/>
      <c r="E39" s="5"/>
      <c r="F39" s="5"/>
      <c r="G39" s="5"/>
      <c r="H39" s="5"/>
      <c r="I39" s="5"/>
      <c r="J39" s="5"/>
      <c r="K39" s="5"/>
      <c r="L39" s="5"/>
      <c r="M39" s="5"/>
      <c r="N39" s="5"/>
      <c r="O39" s="5"/>
      <c r="P39" s="5"/>
      <c r="Q39" s="5"/>
      <c r="R39" s="5"/>
      <c r="S39" s="5"/>
      <c r="T39" s="5"/>
      <c r="U39" s="5"/>
      <c r="V39" s="5"/>
      <c r="W39" s="5"/>
      <c r="X39" s="5"/>
      <c r="Y39" s="5"/>
    </row>
    <row r="40" spans="1:25">
      <c r="D40" s="5"/>
      <c r="E40" s="5"/>
      <c r="F40" s="5"/>
      <c r="G40" s="5"/>
      <c r="H40" s="5"/>
      <c r="I40" s="5"/>
      <c r="J40" s="5"/>
      <c r="K40" s="5"/>
      <c r="L40" s="5"/>
      <c r="M40" s="5"/>
      <c r="N40" s="5"/>
      <c r="O40" s="5"/>
      <c r="P40" s="5"/>
      <c r="Q40" s="5"/>
      <c r="R40" s="5"/>
      <c r="S40" s="5"/>
      <c r="T40" s="5"/>
      <c r="U40" s="5"/>
      <c r="V40" s="5"/>
      <c r="W40" s="5"/>
      <c r="X40" s="5"/>
      <c r="Y40" s="5"/>
    </row>
    <row r="41" spans="1:25">
      <c r="D41" s="5"/>
      <c r="E41" s="5"/>
      <c r="F41" s="5"/>
      <c r="G41" s="5"/>
      <c r="H41" s="5"/>
      <c r="I41" s="5"/>
      <c r="J41" s="5"/>
      <c r="K41" s="5"/>
      <c r="L41" s="5"/>
      <c r="M41" s="5"/>
      <c r="N41" s="5"/>
      <c r="O41" s="5"/>
      <c r="P41" s="5"/>
      <c r="Q41" s="5"/>
      <c r="R41" s="5"/>
      <c r="S41" s="5"/>
      <c r="T41" s="5"/>
      <c r="U41" s="5"/>
      <c r="V41" s="5"/>
      <c r="W41" s="5"/>
      <c r="X41" s="5"/>
      <c r="Y41" s="5"/>
    </row>
    <row r="42" spans="1:25">
      <c r="D42" s="5"/>
      <c r="E42" s="5"/>
      <c r="F42" s="5"/>
      <c r="G42" s="5"/>
      <c r="H42" s="5"/>
      <c r="I42" s="5"/>
      <c r="J42" s="5"/>
      <c r="K42" s="5"/>
      <c r="L42" s="5"/>
      <c r="M42" s="5"/>
      <c r="N42" s="5"/>
      <c r="O42" s="5"/>
      <c r="P42" s="5"/>
      <c r="Q42" s="5"/>
      <c r="R42" s="5"/>
      <c r="S42" s="5"/>
      <c r="T42" s="5"/>
      <c r="U42" s="5"/>
      <c r="V42" s="5"/>
      <c r="W42" s="5"/>
      <c r="X42" s="5"/>
      <c r="Y42" s="5"/>
    </row>
    <row r="43" spans="1:25">
      <c r="D43" s="5"/>
      <c r="E43" s="5"/>
      <c r="F43" s="5"/>
      <c r="G43" s="5"/>
      <c r="H43" s="5"/>
      <c r="I43" s="5"/>
      <c r="J43" s="5"/>
      <c r="K43" s="5"/>
      <c r="L43" s="5"/>
      <c r="M43" s="5"/>
      <c r="N43" s="5"/>
      <c r="O43" s="5"/>
      <c r="P43" s="5"/>
      <c r="Q43" s="5"/>
      <c r="R43" s="5"/>
      <c r="S43" s="5"/>
      <c r="T43" s="5"/>
      <c r="U43" s="5"/>
      <c r="V43" s="5"/>
      <c r="W43" s="5"/>
      <c r="X43" s="5"/>
      <c r="Y43" s="5"/>
    </row>
    <row r="44" spans="1:25">
      <c r="D44" s="5"/>
      <c r="E44" s="5"/>
      <c r="F44" s="5"/>
      <c r="G44" s="5"/>
      <c r="H44" s="5"/>
      <c r="I44" s="5"/>
      <c r="J44" s="5"/>
      <c r="K44" s="5"/>
      <c r="L44" s="5"/>
      <c r="M44" s="5"/>
      <c r="N44" s="5"/>
      <c r="O44" s="5"/>
      <c r="P44" s="5"/>
      <c r="Q44" s="5"/>
      <c r="R44" s="5"/>
      <c r="S44" s="5"/>
      <c r="T44" s="5"/>
      <c r="U44" s="5"/>
      <c r="V44" s="5"/>
      <c r="W44" s="5"/>
      <c r="X44" s="5"/>
      <c r="Y44" s="5"/>
    </row>
    <row r="45" spans="1:25">
      <c r="D45" s="5"/>
      <c r="E45" s="5"/>
      <c r="F45" s="5"/>
      <c r="G45" s="5"/>
      <c r="H45" s="5"/>
      <c r="I45" s="5"/>
      <c r="J45" s="5"/>
      <c r="K45" s="5"/>
      <c r="L45" s="5"/>
      <c r="M45" s="5"/>
      <c r="N45" s="5"/>
      <c r="O45" s="5"/>
      <c r="P45" s="5"/>
      <c r="Q45" s="5"/>
      <c r="R45" s="5"/>
      <c r="S45" s="5"/>
      <c r="T45" s="5"/>
      <c r="U45" s="5"/>
      <c r="V45" s="5"/>
      <c r="W45" s="5"/>
      <c r="X45" s="5"/>
      <c r="Y45" s="5"/>
    </row>
    <row r="46" spans="1:25">
      <c r="D46" s="5"/>
      <c r="E46" s="5"/>
      <c r="F46" s="5"/>
      <c r="G46" s="5"/>
      <c r="H46" s="5"/>
      <c r="I46" s="5"/>
      <c r="J46" s="5"/>
      <c r="K46" s="5"/>
      <c r="L46" s="5"/>
      <c r="M46" s="5"/>
      <c r="N46" s="5"/>
      <c r="O46" s="5"/>
      <c r="P46" s="5"/>
      <c r="Q46" s="5"/>
      <c r="R46" s="5"/>
      <c r="S46" s="5"/>
      <c r="T46" s="5"/>
      <c r="U46" s="5"/>
      <c r="V46" s="5"/>
      <c r="W46" s="5"/>
      <c r="X46" s="5"/>
      <c r="Y46" s="5"/>
    </row>
    <row r="47" spans="1:25">
      <c r="D47" s="5"/>
      <c r="E47" s="5"/>
      <c r="F47" s="5"/>
      <c r="G47" s="5"/>
      <c r="H47" s="5"/>
      <c r="I47" s="5"/>
      <c r="J47" s="5"/>
      <c r="K47" s="5"/>
      <c r="L47" s="5"/>
      <c r="M47" s="5"/>
      <c r="N47" s="5"/>
      <c r="O47" s="5"/>
      <c r="P47" s="5"/>
      <c r="Q47" s="5"/>
      <c r="R47" s="5"/>
      <c r="S47" s="5"/>
      <c r="T47" s="5"/>
      <c r="U47" s="5"/>
      <c r="V47" s="5"/>
      <c r="W47" s="5"/>
      <c r="X47" s="5"/>
      <c r="Y47" s="5"/>
    </row>
    <row r="48" spans="1:25">
      <c r="D48" s="5"/>
      <c r="E48" s="5"/>
      <c r="F48" s="5"/>
      <c r="G48" s="5"/>
      <c r="H48" s="5"/>
      <c r="I48" s="5"/>
      <c r="J48" s="5"/>
      <c r="K48" s="5"/>
      <c r="L48" s="5"/>
      <c r="M48" s="5"/>
      <c r="N48" s="5"/>
      <c r="O48" s="5"/>
      <c r="P48" s="5"/>
      <c r="Q48" s="5"/>
      <c r="R48" s="5"/>
      <c r="S48" s="5"/>
      <c r="T48" s="5"/>
      <c r="U48" s="5"/>
      <c r="V48" s="5"/>
      <c r="W48" s="5"/>
      <c r="X48" s="5"/>
      <c r="Y48" s="5"/>
    </row>
  </sheetData>
  <mergeCells count="3">
    <mergeCell ref="A5:D5"/>
    <mergeCell ref="A6:D6"/>
    <mergeCell ref="A4:D4"/>
  </mergeCells>
  <phoneticPr fontId="5" type="noConversion"/>
  <pageMargins left="0.75" right="0.75" top="1" bottom="1" header="0.5" footer="0.5"/>
  <pageSetup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indexed="17"/>
    <pageSetUpPr fitToPage="1"/>
  </sheetPr>
  <dimension ref="A1:Y344"/>
  <sheetViews>
    <sheetView zoomScale="80" zoomScaleNormal="80" workbookViewId="0">
      <selection activeCell="P15" sqref="P15"/>
    </sheetView>
  </sheetViews>
  <sheetFormatPr defaultRowHeight="12.75"/>
  <cols>
    <col min="1" max="1" width="4.42578125" style="72" bestFit="1" customWidth="1"/>
    <col min="2" max="2" width="41.5703125" style="72" bestFit="1" customWidth="1"/>
    <col min="3" max="3" width="5.5703125" style="227" bestFit="1" customWidth="1"/>
    <col min="4" max="5" width="10.85546875" style="72" bestFit="1" customWidth="1"/>
    <col min="6" max="6" width="12.42578125" style="72" customWidth="1"/>
    <col min="7" max="7" width="12.28515625" style="72" bestFit="1" customWidth="1"/>
    <col min="8" max="8" width="11.7109375" style="72" customWidth="1"/>
    <col min="9" max="12" width="10.85546875" style="72" bestFit="1" customWidth="1"/>
    <col min="13" max="13" width="13.28515625" style="72" customWidth="1"/>
    <col min="14" max="15" width="14.7109375" style="72" bestFit="1" customWidth="1"/>
    <col min="16" max="16" width="11.85546875" style="72" bestFit="1" customWidth="1"/>
    <col min="17" max="17" width="16.5703125" style="72" bestFit="1" customWidth="1"/>
    <col min="18" max="18" width="11.85546875" style="72" bestFit="1" customWidth="1"/>
    <col min="19" max="16384" width="9.140625" style="72"/>
  </cols>
  <sheetData>
    <row r="1" spans="1:25">
      <c r="Q1" s="72" t="str">
        <f>A!D1</f>
        <v>Docket No. RP16-299-000</v>
      </c>
    </row>
    <row r="2" spans="1:25">
      <c r="Q2" s="72" t="s">
        <v>169</v>
      </c>
    </row>
    <row r="3" spans="1:25">
      <c r="Q3" t="s">
        <v>212</v>
      </c>
    </row>
    <row r="4" spans="1:25">
      <c r="A4" s="945" t="str">
        <f>+'H-1'!A4:R4</f>
        <v>Tuscarora Gas Transmission Company</v>
      </c>
      <c r="B4" s="946"/>
      <c r="C4" s="946"/>
      <c r="D4" s="946"/>
      <c r="E4" s="946"/>
      <c r="F4" s="946"/>
      <c r="G4" s="946"/>
      <c r="H4" s="946"/>
      <c r="I4" s="946"/>
      <c r="J4" s="946"/>
      <c r="K4" s="946"/>
      <c r="L4" s="946"/>
      <c r="M4" s="946"/>
      <c r="N4" s="946"/>
      <c r="O4" s="946"/>
      <c r="P4" s="946"/>
      <c r="Q4" s="946"/>
      <c r="R4" s="946"/>
    </row>
    <row r="5" spans="1:25">
      <c r="A5" s="946" t="s">
        <v>324</v>
      </c>
      <c r="B5" s="946"/>
      <c r="C5" s="946"/>
      <c r="D5" s="946"/>
      <c r="E5" s="946"/>
      <c r="F5" s="946"/>
      <c r="G5" s="946"/>
      <c r="H5" s="946"/>
      <c r="I5" s="946"/>
      <c r="J5" s="946"/>
      <c r="K5" s="946"/>
      <c r="L5" s="946"/>
      <c r="M5" s="946"/>
      <c r="N5" s="946"/>
      <c r="O5" s="946"/>
      <c r="P5" s="946"/>
      <c r="Q5" s="946"/>
      <c r="R5" s="946"/>
    </row>
    <row r="6" spans="1:25">
      <c r="A6" s="950" t="s">
        <v>170</v>
      </c>
      <c r="B6" s="950"/>
      <c r="C6" s="950"/>
      <c r="D6" s="950"/>
      <c r="E6" s="950"/>
      <c r="F6" s="950"/>
      <c r="G6" s="950"/>
      <c r="H6" s="950"/>
      <c r="I6" s="950"/>
      <c r="J6" s="950"/>
      <c r="K6" s="950"/>
      <c r="L6" s="950"/>
      <c r="M6" s="950"/>
      <c r="N6" s="950"/>
      <c r="O6" s="950"/>
      <c r="P6" s="950"/>
      <c r="Q6" s="950"/>
      <c r="R6" s="950"/>
    </row>
    <row r="7" spans="1:25">
      <c r="A7" s="945" t="str">
        <f>'Title Input and Macros'!B9</f>
        <v>For the Twelve Months Ended December 31, 2015, As Adjusted</v>
      </c>
      <c r="B7" s="945"/>
      <c r="C7" s="945"/>
      <c r="D7" s="945"/>
      <c r="E7" s="945"/>
      <c r="F7" s="945"/>
      <c r="G7" s="945"/>
      <c r="H7" s="945"/>
      <c r="I7" s="945"/>
      <c r="J7" s="945"/>
      <c r="K7" s="945"/>
      <c r="L7" s="945"/>
      <c r="M7" s="945"/>
      <c r="N7" s="945"/>
      <c r="O7" s="945"/>
      <c r="P7" s="945"/>
      <c r="Q7" s="945"/>
      <c r="R7" s="945"/>
    </row>
    <row r="8" spans="1:25">
      <c r="A8" s="945"/>
      <c r="B8" s="945"/>
      <c r="C8" s="945"/>
      <c r="D8" s="945"/>
      <c r="E8" s="945"/>
      <c r="F8" s="945"/>
      <c r="G8" s="945"/>
      <c r="H8" s="945"/>
      <c r="I8" s="945"/>
      <c r="J8" s="945"/>
      <c r="K8" s="945"/>
      <c r="L8" s="945"/>
      <c r="M8" s="945"/>
      <c r="N8" s="945"/>
      <c r="O8" s="945"/>
      <c r="P8" s="945"/>
      <c r="Q8" s="945"/>
      <c r="R8" s="945"/>
    </row>
    <row r="9" spans="1:25" s="132" customFormat="1">
      <c r="C9" s="227"/>
    </row>
    <row r="10" spans="1:25">
      <c r="A10" s="149" t="s">
        <v>353</v>
      </c>
      <c r="B10" s="149" t="s">
        <v>354</v>
      </c>
      <c r="C10" s="238" t="s">
        <v>353</v>
      </c>
      <c r="D10" s="149" t="str">
        <f>'Title Input and Macros'!$B16</f>
        <v>January</v>
      </c>
      <c r="E10" s="149" t="str">
        <f>'Title Input and Macros'!$B17</f>
        <v>February</v>
      </c>
      <c r="F10" s="149" t="str">
        <f>'Title Input and Macros'!$B18</f>
        <v>March</v>
      </c>
      <c r="G10" s="149" t="str">
        <f>'Title Input and Macros'!$B19</f>
        <v>April</v>
      </c>
      <c r="H10" s="149" t="str">
        <f>'Title Input and Macros'!$B20</f>
        <v>May</v>
      </c>
      <c r="I10" s="149" t="str">
        <f>'Title Input and Macros'!$B21</f>
        <v>June</v>
      </c>
      <c r="J10" s="149" t="str">
        <f>'Title Input and Macros'!$B22</f>
        <v>July</v>
      </c>
      <c r="K10" s="149" t="str">
        <f>'Title Input and Macros'!$B23</f>
        <v>August</v>
      </c>
      <c r="L10" s="149" t="str">
        <f>'Title Input and Macros'!$B24</f>
        <v>September</v>
      </c>
      <c r="M10" s="149" t="str">
        <f>'Title Input and Macros'!$B25</f>
        <v>October</v>
      </c>
      <c r="N10" s="149" t="str">
        <f>'Title Input and Macros'!$B26</f>
        <v>November</v>
      </c>
      <c r="O10" s="149" t="str">
        <f>'Title Input and Macros'!$B27</f>
        <v>December</v>
      </c>
      <c r="P10" s="149" t="s">
        <v>38</v>
      </c>
      <c r="Q10" s="149" t="s">
        <v>401</v>
      </c>
      <c r="R10" s="149" t="s">
        <v>402</v>
      </c>
    </row>
    <row r="11" spans="1:25">
      <c r="B11" s="132" t="s">
        <v>361</v>
      </c>
      <c r="C11" s="227" t="s">
        <v>362</v>
      </c>
      <c r="D11" s="132" t="s">
        <v>366</v>
      </c>
      <c r="E11" s="132" t="s">
        <v>363</v>
      </c>
      <c r="F11" s="132" t="s">
        <v>364</v>
      </c>
      <c r="G11" s="132" t="s">
        <v>379</v>
      </c>
      <c r="H11" s="132" t="s">
        <v>380</v>
      </c>
      <c r="I11" s="132" t="s">
        <v>403</v>
      </c>
      <c r="J11" s="132" t="s">
        <v>404</v>
      </c>
      <c r="K11" s="132" t="s">
        <v>351</v>
      </c>
      <c r="L11" s="132" t="s">
        <v>250</v>
      </c>
      <c r="M11" s="132" t="s">
        <v>254</v>
      </c>
      <c r="N11" s="132" t="s">
        <v>313</v>
      </c>
      <c r="O11" s="132" t="s">
        <v>314</v>
      </c>
      <c r="P11" s="132" t="s">
        <v>315</v>
      </c>
      <c r="Q11" s="132" t="s">
        <v>316</v>
      </c>
      <c r="R11" s="132" t="s">
        <v>317</v>
      </c>
    </row>
    <row r="12" spans="1:25">
      <c r="D12" s="132" t="s">
        <v>365</v>
      </c>
      <c r="E12" s="132" t="s">
        <v>365</v>
      </c>
      <c r="F12" s="132" t="s">
        <v>365</v>
      </c>
      <c r="G12" s="132" t="s">
        <v>365</v>
      </c>
      <c r="H12" s="132" t="s">
        <v>365</v>
      </c>
      <c r="I12" s="132" t="s">
        <v>365</v>
      </c>
      <c r="J12" s="132" t="s">
        <v>365</v>
      </c>
      <c r="K12" s="132" t="s">
        <v>365</v>
      </c>
      <c r="L12" s="132" t="s">
        <v>365</v>
      </c>
      <c r="M12" s="132" t="s">
        <v>365</v>
      </c>
      <c r="N12" s="132" t="s">
        <v>365</v>
      </c>
      <c r="O12" s="132" t="s">
        <v>365</v>
      </c>
      <c r="P12" s="132" t="s">
        <v>365</v>
      </c>
      <c r="Q12" s="132" t="s">
        <v>365</v>
      </c>
      <c r="R12" s="132" t="s">
        <v>365</v>
      </c>
    </row>
    <row r="13" spans="1:25">
      <c r="A13" s="72">
        <v>1</v>
      </c>
      <c r="B13" s="517" t="s">
        <v>171</v>
      </c>
      <c r="C13" s="518"/>
      <c r="D13" s="132"/>
      <c r="E13" s="132"/>
      <c r="F13" s="132"/>
      <c r="G13" s="132"/>
      <c r="H13" s="132"/>
      <c r="I13" s="132"/>
      <c r="J13" s="132"/>
      <c r="K13" s="132"/>
      <c r="L13" s="132"/>
      <c r="M13" s="132"/>
      <c r="N13" s="132"/>
      <c r="O13" s="132"/>
      <c r="P13" s="132"/>
      <c r="Q13" s="132"/>
      <c r="R13" s="132"/>
    </row>
    <row r="14" spans="1:25">
      <c r="A14" s="72">
        <f>A13+1</f>
        <v>2</v>
      </c>
      <c r="B14" s="513" t="s">
        <v>172</v>
      </c>
      <c r="C14" s="519">
        <v>810</v>
      </c>
      <c r="D14" s="522">
        <v>-87911.51</v>
      </c>
      <c r="E14" s="522">
        <v>-41377.17</v>
      </c>
      <c r="F14" s="522">
        <v>-30673.33</v>
      </c>
      <c r="G14" s="522">
        <v>-7954.97</v>
      </c>
      <c r="H14" s="522">
        <v>-6781.32</v>
      </c>
      <c r="I14" s="522">
        <v>-28452.73</v>
      </c>
      <c r="J14" s="522">
        <v>-17331.259999999998</v>
      </c>
      <c r="K14" s="522">
        <v>-18741.12</v>
      </c>
      <c r="L14" s="522">
        <v>-7249.25</v>
      </c>
      <c r="M14" s="522">
        <v>-2469.59</v>
      </c>
      <c r="N14" s="522">
        <v>-17521.53</v>
      </c>
      <c r="O14" s="522">
        <v>-104384.77</v>
      </c>
      <c r="P14" s="240">
        <f>SUM(D14:O14)</f>
        <v>-370848.55000000005</v>
      </c>
      <c r="Q14" s="482">
        <f>-P14</f>
        <v>370848.55000000005</v>
      </c>
      <c r="R14" s="240">
        <f>+P14+Q14</f>
        <v>0</v>
      </c>
    </row>
    <row r="15" spans="1:25">
      <c r="A15" s="72">
        <f t="shared" ref="A15:A16" si="0">A14+1</f>
        <v>3</v>
      </c>
      <c r="B15" s="520" t="s">
        <v>656</v>
      </c>
      <c r="C15" s="521">
        <v>812</v>
      </c>
      <c r="D15" s="522">
        <v>-90428.59</v>
      </c>
      <c r="E15" s="522">
        <v>-185323.31</v>
      </c>
      <c r="F15" s="522">
        <v>133335.09</v>
      </c>
      <c r="G15" s="522">
        <v>368.2</v>
      </c>
      <c r="H15" s="522">
        <v>1611.12</v>
      </c>
      <c r="I15" s="522">
        <v>83029.98</v>
      </c>
      <c r="J15" s="522">
        <v>67193.100000000006</v>
      </c>
      <c r="K15" s="522">
        <v>187578.08</v>
      </c>
      <c r="L15" s="522">
        <v>-106.28</v>
      </c>
      <c r="M15" s="522">
        <v>-46906.82</v>
      </c>
      <c r="N15" s="522">
        <v>40602.17</v>
      </c>
      <c r="O15" s="522">
        <v>-318872.71999999997</v>
      </c>
      <c r="P15" s="240">
        <f>SUM(D15:O15)</f>
        <v>-127919.97999999998</v>
      </c>
      <c r="Q15" s="482">
        <f>-P15</f>
        <v>127919.97999999998</v>
      </c>
      <c r="R15" s="240">
        <f>+P15+Q15</f>
        <v>0</v>
      </c>
    </row>
    <row r="16" spans="1:25" ht="13.5" thickBot="1">
      <c r="A16" s="72">
        <f t="shared" si="0"/>
        <v>4</v>
      </c>
      <c r="B16" s="517" t="s">
        <v>356</v>
      </c>
      <c r="C16" s="518"/>
      <c r="D16" s="241">
        <f t="shared" ref="D16:R16" si="1">SUM(D14:D15)</f>
        <v>-178340.09999999998</v>
      </c>
      <c r="E16" s="241">
        <f t="shared" si="1"/>
        <v>-226700.47999999998</v>
      </c>
      <c r="F16" s="241">
        <f t="shared" si="1"/>
        <v>102661.75999999999</v>
      </c>
      <c r="G16" s="241">
        <f t="shared" si="1"/>
        <v>-7586.77</v>
      </c>
      <c r="H16" s="241">
        <f t="shared" si="1"/>
        <v>-5170.2</v>
      </c>
      <c r="I16" s="241">
        <f t="shared" si="1"/>
        <v>54577.25</v>
      </c>
      <c r="J16" s="241">
        <f t="shared" si="1"/>
        <v>49861.840000000011</v>
      </c>
      <c r="K16" s="241">
        <f t="shared" si="1"/>
        <v>168836.96</v>
      </c>
      <c r="L16" s="241">
        <f t="shared" si="1"/>
        <v>-7355.53</v>
      </c>
      <c r="M16" s="241">
        <f t="shared" si="1"/>
        <v>-49376.41</v>
      </c>
      <c r="N16" s="241">
        <f t="shared" si="1"/>
        <v>23080.639999999999</v>
      </c>
      <c r="O16" s="241">
        <f t="shared" si="1"/>
        <v>-423257.49</v>
      </c>
      <c r="P16" s="241">
        <f t="shared" si="1"/>
        <v>-498768.53</v>
      </c>
      <c r="Q16" s="241">
        <f t="shared" si="1"/>
        <v>498768.53</v>
      </c>
      <c r="R16" s="241">
        <f t="shared" si="1"/>
        <v>0</v>
      </c>
      <c r="S16" s="242"/>
      <c r="T16" s="242"/>
      <c r="U16" s="242"/>
      <c r="V16" s="242"/>
      <c r="W16" s="242"/>
      <c r="X16" s="242"/>
      <c r="Y16" s="242"/>
    </row>
    <row r="17" spans="4:18" ht="13.5" thickTop="1">
      <c r="D17" s="106"/>
      <c r="E17" s="106"/>
      <c r="F17" s="106"/>
      <c r="G17" s="106"/>
      <c r="H17" s="106"/>
      <c r="I17" s="106"/>
      <c r="J17" s="106"/>
      <c r="K17" s="106"/>
      <c r="L17" s="106"/>
      <c r="M17" s="106"/>
      <c r="N17" s="106"/>
      <c r="O17" s="106"/>
      <c r="P17" s="106"/>
      <c r="Q17" s="106"/>
      <c r="R17" s="106"/>
    </row>
    <row r="18" spans="4:18">
      <c r="D18" s="106"/>
      <c r="E18" s="106"/>
      <c r="F18" s="106"/>
      <c r="G18" s="106"/>
      <c r="H18" s="106"/>
      <c r="I18" s="106"/>
      <c r="J18" s="106"/>
      <c r="K18" s="106"/>
      <c r="L18" s="106"/>
      <c r="M18" s="106"/>
      <c r="N18" s="106"/>
      <c r="O18" s="106"/>
      <c r="P18" s="106"/>
      <c r="Q18" s="106"/>
      <c r="R18" s="106"/>
    </row>
    <row r="19" spans="4:18">
      <c r="D19" s="106"/>
      <c r="E19" s="106"/>
      <c r="F19" s="106"/>
      <c r="G19" s="106"/>
      <c r="H19" s="106"/>
      <c r="I19" s="106"/>
      <c r="J19" s="106"/>
      <c r="K19" s="106"/>
      <c r="L19" s="106"/>
      <c r="M19" s="106"/>
      <c r="N19" s="106"/>
      <c r="O19" s="106"/>
      <c r="P19" s="106"/>
      <c r="Q19" s="106"/>
      <c r="R19" s="106"/>
    </row>
    <row r="20" spans="4:18">
      <c r="D20" s="106"/>
      <c r="E20" s="106"/>
      <c r="F20" s="106"/>
      <c r="G20" s="106"/>
      <c r="H20" s="106"/>
      <c r="I20" s="106"/>
      <c r="J20" s="106"/>
      <c r="K20" s="106"/>
      <c r="L20" s="106"/>
      <c r="M20" s="106"/>
      <c r="N20" s="106"/>
      <c r="O20" s="106"/>
      <c r="P20" s="106"/>
      <c r="Q20" s="106"/>
      <c r="R20" s="106"/>
    </row>
    <row r="21" spans="4:18">
      <c r="D21" s="106"/>
      <c r="E21" s="106"/>
      <c r="F21" s="106"/>
      <c r="G21" s="106"/>
      <c r="H21" s="106"/>
      <c r="I21" s="106"/>
      <c r="J21" s="106"/>
      <c r="K21" s="106"/>
      <c r="L21" s="106"/>
      <c r="M21" s="106"/>
      <c r="N21" s="106"/>
      <c r="O21" s="106"/>
      <c r="P21" s="106"/>
      <c r="Q21" s="106"/>
      <c r="R21" s="106"/>
    </row>
    <row r="50" spans="4:5">
      <c r="D50" s="129"/>
      <c r="E50" s="129"/>
    </row>
    <row r="51" spans="4:5">
      <c r="D51" s="129"/>
      <c r="E51" s="129"/>
    </row>
    <row r="52" spans="4:5">
      <c r="D52" s="129"/>
      <c r="E52" s="129"/>
    </row>
    <row r="53" spans="4:5">
      <c r="D53" s="129"/>
      <c r="E53" s="129"/>
    </row>
    <row r="54" spans="4:5">
      <c r="D54" s="129"/>
      <c r="E54" s="129"/>
    </row>
    <row r="55" spans="4:5">
      <c r="D55" s="129"/>
      <c r="E55" s="129"/>
    </row>
    <row r="56" spans="4:5">
      <c r="D56" s="129"/>
      <c r="E56" s="129"/>
    </row>
    <row r="57" spans="4:5">
      <c r="D57" s="129"/>
      <c r="E57" s="129"/>
    </row>
    <row r="58" spans="4:5">
      <c r="D58" s="129"/>
      <c r="E58" s="129"/>
    </row>
    <row r="59" spans="4:5">
      <c r="D59" s="129"/>
      <c r="E59" s="129"/>
    </row>
    <row r="60" spans="4:5">
      <c r="D60" s="129"/>
      <c r="E60" s="129"/>
    </row>
    <row r="61" spans="4:5">
      <c r="D61" s="129"/>
      <c r="E61" s="129"/>
    </row>
    <row r="62" spans="4:5">
      <c r="D62" s="129"/>
      <c r="E62" s="129"/>
    </row>
    <row r="63" spans="4:5">
      <c r="D63" s="129"/>
      <c r="E63" s="129"/>
    </row>
    <row r="64" spans="4:5">
      <c r="D64" s="129"/>
      <c r="E64" s="129"/>
    </row>
    <row r="65" spans="4:5">
      <c r="D65" s="129"/>
      <c r="E65" s="129"/>
    </row>
    <row r="66" spans="4:5">
      <c r="D66" s="129"/>
      <c r="E66" s="129"/>
    </row>
    <row r="67" spans="4:5">
      <c r="D67" s="129"/>
      <c r="E67" s="129"/>
    </row>
    <row r="68" spans="4:5">
      <c r="D68" s="129"/>
      <c r="E68" s="129"/>
    </row>
    <row r="69" spans="4:5">
      <c r="D69" s="129"/>
      <c r="E69" s="129"/>
    </row>
    <row r="70" spans="4:5">
      <c r="D70" s="129"/>
      <c r="E70" s="129"/>
    </row>
    <row r="71" spans="4:5">
      <c r="D71" s="129"/>
      <c r="E71" s="129"/>
    </row>
    <row r="72" spans="4:5">
      <c r="D72" s="129"/>
      <c r="E72" s="129"/>
    </row>
    <row r="73" spans="4:5">
      <c r="D73" s="129"/>
      <c r="E73" s="129"/>
    </row>
    <row r="74" spans="4:5">
      <c r="D74" s="129"/>
      <c r="E74" s="129"/>
    </row>
    <row r="75" spans="4:5">
      <c r="D75" s="129"/>
      <c r="E75" s="129"/>
    </row>
    <row r="76" spans="4:5">
      <c r="D76" s="129"/>
      <c r="E76" s="129"/>
    </row>
    <row r="77" spans="4:5">
      <c r="D77" s="129"/>
      <c r="E77" s="129"/>
    </row>
    <row r="78" spans="4:5">
      <c r="D78" s="129"/>
      <c r="E78" s="129"/>
    </row>
    <row r="79" spans="4:5">
      <c r="D79" s="129"/>
      <c r="E79" s="129"/>
    </row>
    <row r="80" spans="4:5">
      <c r="D80" s="129"/>
      <c r="E80" s="129"/>
    </row>
    <row r="81" spans="4:5">
      <c r="D81" s="129"/>
      <c r="E81" s="129"/>
    </row>
    <row r="82" spans="4:5">
      <c r="D82" s="129"/>
      <c r="E82" s="129"/>
    </row>
    <row r="83" spans="4:5">
      <c r="D83" s="129"/>
      <c r="E83" s="129"/>
    </row>
    <row r="84" spans="4:5">
      <c r="D84" s="129"/>
      <c r="E84" s="129"/>
    </row>
    <row r="85" spans="4:5">
      <c r="D85" s="129"/>
      <c r="E85" s="129"/>
    </row>
    <row r="86" spans="4:5">
      <c r="D86" s="129"/>
      <c r="E86" s="129"/>
    </row>
    <row r="87" spans="4:5">
      <c r="D87" s="129"/>
      <c r="E87" s="129"/>
    </row>
    <row r="88" spans="4:5">
      <c r="D88" s="129"/>
      <c r="E88" s="129"/>
    </row>
    <row r="89" spans="4:5">
      <c r="D89" s="129"/>
      <c r="E89" s="129"/>
    </row>
    <row r="90" spans="4:5">
      <c r="D90" s="129"/>
      <c r="E90" s="129"/>
    </row>
    <row r="91" spans="4:5">
      <c r="D91" s="129"/>
      <c r="E91" s="129"/>
    </row>
    <row r="92" spans="4:5">
      <c r="D92" s="129"/>
      <c r="E92" s="129"/>
    </row>
    <row r="93" spans="4:5">
      <c r="D93" s="129"/>
      <c r="E93" s="129"/>
    </row>
    <row r="94" spans="4:5">
      <c r="D94" s="129"/>
      <c r="E94" s="129"/>
    </row>
    <row r="95" spans="4:5">
      <c r="D95" s="129"/>
      <c r="E95" s="129"/>
    </row>
    <row r="96" spans="4:5">
      <c r="D96" s="129"/>
      <c r="E96" s="129"/>
    </row>
    <row r="97" spans="4:5">
      <c r="D97" s="129"/>
      <c r="E97" s="129"/>
    </row>
    <row r="98" spans="4:5">
      <c r="D98" s="129"/>
      <c r="E98" s="129"/>
    </row>
    <row r="99" spans="4:5">
      <c r="D99" s="129"/>
      <c r="E99" s="129"/>
    </row>
    <row r="100" spans="4:5">
      <c r="D100" s="129"/>
      <c r="E100" s="129"/>
    </row>
    <row r="101" spans="4:5">
      <c r="D101" s="129"/>
      <c r="E101" s="129"/>
    </row>
    <row r="102" spans="4:5">
      <c r="D102" s="129"/>
      <c r="E102" s="129"/>
    </row>
    <row r="103" spans="4:5">
      <c r="D103" s="129"/>
      <c r="E103" s="129"/>
    </row>
    <row r="104" spans="4:5">
      <c r="D104" s="129"/>
      <c r="E104" s="129"/>
    </row>
    <row r="105" spans="4:5">
      <c r="D105" s="129"/>
      <c r="E105" s="129"/>
    </row>
    <row r="106" spans="4:5">
      <c r="D106" s="129"/>
      <c r="E106" s="129"/>
    </row>
    <row r="107" spans="4:5">
      <c r="D107" s="129"/>
      <c r="E107" s="129"/>
    </row>
    <row r="108" spans="4:5">
      <c r="D108" s="129"/>
      <c r="E108" s="129"/>
    </row>
    <row r="109" spans="4:5">
      <c r="D109" s="129"/>
      <c r="E109" s="129"/>
    </row>
    <row r="110" spans="4:5">
      <c r="D110" s="129"/>
      <c r="E110" s="129"/>
    </row>
    <row r="111" spans="4:5">
      <c r="D111" s="129"/>
      <c r="E111" s="129"/>
    </row>
    <row r="112" spans="4:5">
      <c r="D112" s="129"/>
      <c r="E112" s="129"/>
    </row>
    <row r="113" spans="4:5">
      <c r="D113" s="129"/>
      <c r="E113" s="129"/>
    </row>
    <row r="114" spans="4:5">
      <c r="D114" s="129"/>
      <c r="E114" s="129"/>
    </row>
    <row r="115" spans="4:5">
      <c r="D115" s="129"/>
      <c r="E115" s="129"/>
    </row>
    <row r="116" spans="4:5">
      <c r="D116" s="129"/>
      <c r="E116" s="129"/>
    </row>
    <row r="117" spans="4:5">
      <c r="D117" s="129"/>
      <c r="E117" s="129"/>
    </row>
    <row r="118" spans="4:5">
      <c r="D118" s="129"/>
      <c r="E118" s="129"/>
    </row>
    <row r="119" spans="4:5">
      <c r="D119" s="129"/>
      <c r="E119" s="129"/>
    </row>
    <row r="120" spans="4:5">
      <c r="D120" s="129"/>
      <c r="E120" s="129"/>
    </row>
    <row r="121" spans="4:5">
      <c r="D121" s="129"/>
      <c r="E121" s="129"/>
    </row>
    <row r="122" spans="4:5">
      <c r="D122" s="129"/>
      <c r="E122" s="129"/>
    </row>
    <row r="123" spans="4:5">
      <c r="D123" s="129"/>
      <c r="E123" s="129"/>
    </row>
    <row r="124" spans="4:5">
      <c r="D124" s="129"/>
      <c r="E124" s="129"/>
    </row>
    <row r="125" spans="4:5">
      <c r="D125" s="129"/>
      <c r="E125" s="129"/>
    </row>
    <row r="126" spans="4:5">
      <c r="D126" s="129"/>
      <c r="E126" s="129"/>
    </row>
    <row r="127" spans="4:5">
      <c r="D127" s="129"/>
      <c r="E127" s="129"/>
    </row>
    <row r="128" spans="4:5">
      <c r="D128" s="129"/>
      <c r="E128" s="129"/>
    </row>
    <row r="129" spans="4:5">
      <c r="D129" s="129"/>
      <c r="E129" s="129"/>
    </row>
    <row r="130" spans="4:5">
      <c r="D130" s="129"/>
      <c r="E130" s="129"/>
    </row>
    <row r="131" spans="4:5">
      <c r="D131" s="129"/>
      <c r="E131" s="129"/>
    </row>
    <row r="132" spans="4:5">
      <c r="D132" s="129"/>
      <c r="E132" s="129"/>
    </row>
    <row r="133" spans="4:5">
      <c r="D133" s="129"/>
      <c r="E133" s="129"/>
    </row>
    <row r="134" spans="4:5">
      <c r="D134" s="129"/>
      <c r="E134" s="129"/>
    </row>
    <row r="135" spans="4:5">
      <c r="D135" s="129"/>
      <c r="E135" s="129"/>
    </row>
    <row r="136" spans="4:5">
      <c r="D136" s="129"/>
      <c r="E136" s="129"/>
    </row>
    <row r="137" spans="4:5">
      <c r="D137" s="129"/>
      <c r="E137" s="129"/>
    </row>
    <row r="138" spans="4:5">
      <c r="D138" s="129"/>
      <c r="E138" s="129"/>
    </row>
    <row r="139" spans="4:5">
      <c r="D139" s="129"/>
      <c r="E139" s="129"/>
    </row>
    <row r="140" spans="4:5">
      <c r="D140" s="129"/>
      <c r="E140" s="129"/>
    </row>
    <row r="141" spans="4:5">
      <c r="D141" s="129"/>
      <c r="E141" s="129"/>
    </row>
    <row r="142" spans="4:5">
      <c r="D142" s="129"/>
      <c r="E142" s="129"/>
    </row>
    <row r="143" spans="4:5">
      <c r="D143" s="129"/>
      <c r="E143" s="129"/>
    </row>
    <row r="144" spans="4:5">
      <c r="D144" s="129"/>
      <c r="E144" s="129"/>
    </row>
    <row r="145" spans="4:5">
      <c r="D145" s="129"/>
      <c r="E145" s="129"/>
    </row>
    <row r="146" spans="4:5">
      <c r="D146" s="129"/>
      <c r="E146" s="129"/>
    </row>
    <row r="147" spans="4:5">
      <c r="D147" s="129"/>
      <c r="E147" s="129"/>
    </row>
    <row r="148" spans="4:5">
      <c r="D148" s="129"/>
      <c r="E148" s="129"/>
    </row>
    <row r="149" spans="4:5">
      <c r="D149" s="129"/>
      <c r="E149" s="129"/>
    </row>
    <row r="150" spans="4:5">
      <c r="D150" s="129"/>
      <c r="E150" s="129"/>
    </row>
    <row r="151" spans="4:5">
      <c r="D151" s="129"/>
      <c r="E151" s="129"/>
    </row>
    <row r="152" spans="4:5">
      <c r="D152" s="129"/>
      <c r="E152" s="129"/>
    </row>
    <row r="153" spans="4:5">
      <c r="D153" s="129"/>
      <c r="E153" s="129"/>
    </row>
    <row r="154" spans="4:5">
      <c r="D154" s="129"/>
      <c r="E154" s="129"/>
    </row>
    <row r="155" spans="4:5">
      <c r="D155" s="129"/>
      <c r="E155" s="129"/>
    </row>
    <row r="156" spans="4:5">
      <c r="D156" s="129"/>
      <c r="E156" s="129"/>
    </row>
    <row r="157" spans="4:5">
      <c r="D157" s="129"/>
      <c r="E157" s="129"/>
    </row>
    <row r="158" spans="4:5">
      <c r="D158" s="129"/>
      <c r="E158" s="129"/>
    </row>
    <row r="159" spans="4:5">
      <c r="D159" s="129"/>
      <c r="E159" s="129"/>
    </row>
    <row r="160" spans="4:5">
      <c r="D160" s="129"/>
      <c r="E160" s="129"/>
    </row>
    <row r="161" spans="4:5">
      <c r="D161" s="129"/>
      <c r="E161" s="129"/>
    </row>
    <row r="162" spans="4:5">
      <c r="D162" s="129"/>
      <c r="E162" s="129"/>
    </row>
    <row r="163" spans="4:5">
      <c r="D163" s="129"/>
      <c r="E163" s="129"/>
    </row>
    <row r="164" spans="4:5">
      <c r="D164" s="129"/>
      <c r="E164" s="129"/>
    </row>
    <row r="165" spans="4:5">
      <c r="D165" s="129"/>
      <c r="E165" s="129"/>
    </row>
    <row r="166" spans="4:5">
      <c r="D166" s="129"/>
      <c r="E166" s="129"/>
    </row>
    <row r="167" spans="4:5">
      <c r="D167" s="129"/>
      <c r="E167" s="129"/>
    </row>
    <row r="168" spans="4:5">
      <c r="D168" s="129"/>
      <c r="E168" s="129"/>
    </row>
    <row r="169" spans="4:5">
      <c r="D169" s="129"/>
      <c r="E169" s="129"/>
    </row>
    <row r="170" spans="4:5">
      <c r="D170" s="129"/>
      <c r="E170" s="129"/>
    </row>
    <row r="171" spans="4:5">
      <c r="D171" s="129"/>
      <c r="E171" s="129"/>
    </row>
    <row r="172" spans="4:5">
      <c r="D172" s="129"/>
      <c r="E172" s="129"/>
    </row>
    <row r="173" spans="4:5">
      <c r="D173" s="129"/>
      <c r="E173" s="129"/>
    </row>
    <row r="174" spans="4:5">
      <c r="D174" s="129"/>
      <c r="E174" s="129"/>
    </row>
    <row r="175" spans="4:5">
      <c r="D175" s="129"/>
      <c r="E175" s="129"/>
    </row>
    <row r="176" spans="4:5">
      <c r="D176" s="129"/>
      <c r="E176" s="129"/>
    </row>
    <row r="177" spans="4:5">
      <c r="D177" s="129"/>
      <c r="E177" s="129"/>
    </row>
    <row r="178" spans="4:5">
      <c r="D178" s="129"/>
      <c r="E178" s="129"/>
    </row>
    <row r="179" spans="4:5">
      <c r="D179" s="129"/>
      <c r="E179" s="129"/>
    </row>
    <row r="180" spans="4:5">
      <c r="D180" s="129"/>
      <c r="E180" s="129"/>
    </row>
    <row r="181" spans="4:5">
      <c r="D181" s="129"/>
      <c r="E181" s="129"/>
    </row>
    <row r="182" spans="4:5">
      <c r="D182" s="129"/>
      <c r="E182" s="129"/>
    </row>
    <row r="183" spans="4:5">
      <c r="D183" s="129"/>
      <c r="E183" s="129"/>
    </row>
    <row r="184" spans="4:5">
      <c r="D184" s="129"/>
      <c r="E184" s="129"/>
    </row>
    <row r="185" spans="4:5">
      <c r="D185" s="129"/>
      <c r="E185" s="129"/>
    </row>
    <row r="186" spans="4:5">
      <c r="D186" s="129"/>
      <c r="E186" s="129"/>
    </row>
    <row r="187" spans="4:5">
      <c r="D187" s="129"/>
      <c r="E187" s="129"/>
    </row>
    <row r="188" spans="4:5">
      <c r="D188" s="129"/>
      <c r="E188" s="129"/>
    </row>
    <row r="189" spans="4:5">
      <c r="D189" s="129"/>
      <c r="E189" s="129"/>
    </row>
    <row r="190" spans="4:5">
      <c r="D190" s="129"/>
      <c r="E190" s="129"/>
    </row>
    <row r="191" spans="4:5">
      <c r="D191" s="129"/>
      <c r="E191" s="129"/>
    </row>
    <row r="192" spans="4:5">
      <c r="D192" s="129"/>
      <c r="E192" s="129"/>
    </row>
    <row r="193" spans="4:5">
      <c r="D193" s="129"/>
      <c r="E193" s="129"/>
    </row>
    <row r="194" spans="4:5">
      <c r="D194" s="129"/>
      <c r="E194" s="129"/>
    </row>
    <row r="195" spans="4:5">
      <c r="D195" s="129"/>
      <c r="E195" s="129"/>
    </row>
    <row r="196" spans="4:5">
      <c r="D196" s="129"/>
      <c r="E196" s="129"/>
    </row>
    <row r="197" spans="4:5">
      <c r="D197" s="129"/>
      <c r="E197" s="129"/>
    </row>
    <row r="198" spans="4:5">
      <c r="D198" s="129"/>
      <c r="E198" s="129"/>
    </row>
    <row r="199" spans="4:5">
      <c r="D199" s="129"/>
      <c r="E199" s="129"/>
    </row>
    <row r="200" spans="4:5">
      <c r="D200" s="129"/>
      <c r="E200" s="129"/>
    </row>
    <row r="201" spans="4:5">
      <c r="D201" s="129"/>
      <c r="E201" s="129"/>
    </row>
    <row r="202" spans="4:5">
      <c r="D202" s="129"/>
      <c r="E202" s="129"/>
    </row>
    <row r="203" spans="4:5">
      <c r="D203" s="129"/>
      <c r="E203" s="129"/>
    </row>
    <row r="204" spans="4:5">
      <c r="D204" s="129"/>
      <c r="E204" s="129"/>
    </row>
    <row r="205" spans="4:5">
      <c r="D205" s="129"/>
      <c r="E205" s="129"/>
    </row>
    <row r="206" spans="4:5">
      <c r="D206" s="129"/>
      <c r="E206" s="129"/>
    </row>
    <row r="207" spans="4:5">
      <c r="D207" s="129"/>
      <c r="E207" s="129"/>
    </row>
    <row r="208" spans="4:5">
      <c r="D208" s="129"/>
      <c r="E208" s="129"/>
    </row>
    <row r="209" spans="4:5">
      <c r="D209" s="129"/>
      <c r="E209" s="129"/>
    </row>
    <row r="210" spans="4:5">
      <c r="D210" s="129"/>
      <c r="E210" s="129"/>
    </row>
    <row r="211" spans="4:5">
      <c r="D211" s="129"/>
      <c r="E211" s="129"/>
    </row>
    <row r="212" spans="4:5">
      <c r="D212" s="129"/>
      <c r="E212" s="129"/>
    </row>
    <row r="213" spans="4:5">
      <c r="D213" s="129"/>
      <c r="E213" s="129"/>
    </row>
    <row r="214" spans="4:5">
      <c r="D214" s="129"/>
      <c r="E214" s="129"/>
    </row>
    <row r="215" spans="4:5">
      <c r="D215" s="129"/>
      <c r="E215" s="129"/>
    </row>
    <row r="216" spans="4:5">
      <c r="D216" s="129"/>
      <c r="E216" s="129"/>
    </row>
    <row r="217" spans="4:5">
      <c r="D217" s="129"/>
      <c r="E217" s="129"/>
    </row>
    <row r="218" spans="4:5">
      <c r="D218" s="129"/>
      <c r="E218" s="129"/>
    </row>
    <row r="219" spans="4:5">
      <c r="D219" s="129"/>
      <c r="E219" s="129"/>
    </row>
    <row r="220" spans="4:5">
      <c r="D220" s="129"/>
      <c r="E220" s="129"/>
    </row>
    <row r="221" spans="4:5">
      <c r="D221" s="129"/>
      <c r="E221" s="129"/>
    </row>
    <row r="222" spans="4:5">
      <c r="D222" s="129"/>
      <c r="E222" s="129"/>
    </row>
    <row r="223" spans="4:5">
      <c r="D223" s="129"/>
      <c r="E223" s="129"/>
    </row>
    <row r="224" spans="4:5">
      <c r="D224" s="129"/>
      <c r="E224" s="129"/>
    </row>
    <row r="225" spans="4:5">
      <c r="D225" s="129"/>
      <c r="E225" s="129"/>
    </row>
    <row r="226" spans="4:5">
      <c r="D226" s="129"/>
      <c r="E226" s="129"/>
    </row>
    <row r="227" spans="4:5">
      <c r="D227" s="129"/>
      <c r="E227" s="129"/>
    </row>
    <row r="228" spans="4:5">
      <c r="D228" s="129"/>
      <c r="E228" s="129"/>
    </row>
    <row r="229" spans="4:5">
      <c r="D229" s="129"/>
      <c r="E229" s="129"/>
    </row>
    <row r="230" spans="4:5">
      <c r="D230" s="129"/>
      <c r="E230" s="129"/>
    </row>
    <row r="231" spans="4:5">
      <c r="D231" s="129"/>
      <c r="E231" s="129"/>
    </row>
    <row r="232" spans="4:5">
      <c r="D232" s="129"/>
      <c r="E232" s="129"/>
    </row>
    <row r="233" spans="4:5">
      <c r="D233" s="129"/>
      <c r="E233" s="129"/>
    </row>
    <row r="234" spans="4:5">
      <c r="D234" s="129"/>
      <c r="E234" s="129"/>
    </row>
    <row r="235" spans="4:5">
      <c r="D235" s="129"/>
      <c r="E235" s="129"/>
    </row>
    <row r="236" spans="4:5">
      <c r="D236" s="129"/>
      <c r="E236" s="129"/>
    </row>
    <row r="237" spans="4:5">
      <c r="D237" s="129"/>
      <c r="E237" s="129"/>
    </row>
    <row r="238" spans="4:5">
      <c r="D238" s="129"/>
      <c r="E238" s="129"/>
    </row>
    <row r="239" spans="4:5">
      <c r="D239" s="129"/>
      <c r="E239" s="129"/>
    </row>
    <row r="240" spans="4:5">
      <c r="D240" s="129"/>
      <c r="E240" s="129"/>
    </row>
    <row r="241" spans="4:5">
      <c r="D241" s="129"/>
      <c r="E241" s="129"/>
    </row>
    <row r="242" spans="4:5">
      <c r="D242" s="129"/>
      <c r="E242" s="129"/>
    </row>
    <row r="243" spans="4:5">
      <c r="D243" s="129"/>
      <c r="E243" s="129"/>
    </row>
    <row r="244" spans="4:5">
      <c r="D244" s="129"/>
      <c r="E244" s="129"/>
    </row>
    <row r="245" spans="4:5">
      <c r="D245" s="129"/>
      <c r="E245" s="129"/>
    </row>
    <row r="246" spans="4:5">
      <c r="D246" s="129"/>
      <c r="E246" s="129"/>
    </row>
    <row r="247" spans="4:5">
      <c r="D247" s="129"/>
      <c r="E247" s="129"/>
    </row>
    <row r="248" spans="4:5">
      <c r="D248" s="129"/>
      <c r="E248" s="129"/>
    </row>
    <row r="249" spans="4:5">
      <c r="D249" s="129"/>
      <c r="E249" s="129"/>
    </row>
    <row r="250" spans="4:5">
      <c r="D250" s="129"/>
      <c r="E250" s="129"/>
    </row>
    <row r="251" spans="4:5">
      <c r="D251" s="129"/>
      <c r="E251" s="129"/>
    </row>
    <row r="252" spans="4:5">
      <c r="D252" s="129"/>
      <c r="E252" s="129"/>
    </row>
    <row r="253" spans="4:5">
      <c r="D253" s="129"/>
      <c r="E253" s="129"/>
    </row>
    <row r="254" spans="4:5">
      <c r="D254" s="129"/>
      <c r="E254" s="129"/>
    </row>
    <row r="255" spans="4:5">
      <c r="D255" s="129"/>
      <c r="E255" s="129"/>
    </row>
    <row r="256" spans="4:5">
      <c r="D256" s="129"/>
      <c r="E256" s="129"/>
    </row>
    <row r="257" spans="4:5">
      <c r="D257" s="129"/>
      <c r="E257" s="129"/>
    </row>
    <row r="258" spans="4:5">
      <c r="D258" s="129"/>
      <c r="E258" s="129"/>
    </row>
    <row r="259" spans="4:5">
      <c r="D259" s="129"/>
      <c r="E259" s="129"/>
    </row>
    <row r="260" spans="4:5">
      <c r="D260" s="129"/>
      <c r="E260" s="129"/>
    </row>
    <row r="261" spans="4:5">
      <c r="D261" s="129"/>
      <c r="E261" s="129"/>
    </row>
    <row r="262" spans="4:5">
      <c r="D262" s="129"/>
      <c r="E262" s="129"/>
    </row>
    <row r="263" spans="4:5">
      <c r="D263" s="129"/>
      <c r="E263" s="129"/>
    </row>
    <row r="264" spans="4:5">
      <c r="D264" s="129"/>
      <c r="E264" s="129"/>
    </row>
    <row r="265" spans="4:5">
      <c r="D265" s="129"/>
      <c r="E265" s="129"/>
    </row>
    <row r="266" spans="4:5">
      <c r="D266" s="129"/>
      <c r="E266" s="129"/>
    </row>
    <row r="267" spans="4:5">
      <c r="D267" s="129"/>
      <c r="E267" s="129"/>
    </row>
    <row r="268" spans="4:5">
      <c r="D268" s="129"/>
      <c r="E268" s="129"/>
    </row>
    <row r="269" spans="4:5">
      <c r="D269" s="129"/>
      <c r="E269" s="129"/>
    </row>
    <row r="270" spans="4:5">
      <c r="D270" s="129"/>
      <c r="E270" s="129"/>
    </row>
    <row r="271" spans="4:5">
      <c r="D271" s="129"/>
      <c r="E271" s="129"/>
    </row>
    <row r="272" spans="4:5">
      <c r="D272" s="129"/>
      <c r="E272" s="129"/>
    </row>
    <row r="273" spans="4:5">
      <c r="D273" s="129"/>
      <c r="E273" s="129"/>
    </row>
    <row r="274" spans="4:5">
      <c r="D274" s="129"/>
      <c r="E274" s="129"/>
    </row>
    <row r="275" spans="4:5">
      <c r="D275" s="129"/>
      <c r="E275" s="129"/>
    </row>
    <row r="276" spans="4:5">
      <c r="D276" s="129"/>
      <c r="E276" s="129"/>
    </row>
    <row r="277" spans="4:5">
      <c r="D277" s="129"/>
      <c r="E277" s="129"/>
    </row>
    <row r="278" spans="4:5">
      <c r="D278" s="129"/>
      <c r="E278" s="129"/>
    </row>
    <row r="279" spans="4:5">
      <c r="D279" s="129"/>
      <c r="E279" s="129"/>
    </row>
    <row r="280" spans="4:5">
      <c r="D280" s="129"/>
      <c r="E280" s="129"/>
    </row>
    <row r="281" spans="4:5">
      <c r="D281" s="129"/>
      <c r="E281" s="129"/>
    </row>
    <row r="282" spans="4:5">
      <c r="D282" s="129"/>
      <c r="E282" s="129"/>
    </row>
    <row r="283" spans="4:5">
      <c r="D283" s="129"/>
      <c r="E283" s="129"/>
    </row>
    <row r="284" spans="4:5">
      <c r="D284" s="129"/>
      <c r="E284" s="129"/>
    </row>
    <row r="285" spans="4:5">
      <c r="D285" s="129"/>
      <c r="E285" s="129"/>
    </row>
    <row r="286" spans="4:5">
      <c r="D286" s="129"/>
      <c r="E286" s="129"/>
    </row>
    <row r="287" spans="4:5">
      <c r="D287" s="129"/>
      <c r="E287" s="129"/>
    </row>
    <row r="288" spans="4:5">
      <c r="D288" s="129"/>
      <c r="E288" s="129"/>
    </row>
    <row r="289" spans="4:5">
      <c r="D289" s="129"/>
      <c r="E289" s="129"/>
    </row>
    <row r="290" spans="4:5">
      <c r="D290" s="129"/>
      <c r="E290" s="129"/>
    </row>
    <row r="291" spans="4:5">
      <c r="D291" s="129"/>
      <c r="E291" s="129"/>
    </row>
    <row r="292" spans="4:5">
      <c r="D292" s="129"/>
      <c r="E292" s="129"/>
    </row>
    <row r="293" spans="4:5">
      <c r="D293" s="129"/>
      <c r="E293" s="129"/>
    </row>
    <row r="294" spans="4:5">
      <c r="D294" s="129"/>
      <c r="E294" s="129"/>
    </row>
    <row r="295" spans="4:5">
      <c r="D295" s="129"/>
      <c r="E295" s="129"/>
    </row>
    <row r="296" spans="4:5">
      <c r="D296" s="129"/>
      <c r="E296" s="129"/>
    </row>
    <row r="297" spans="4:5">
      <c r="D297" s="129"/>
      <c r="E297" s="129"/>
    </row>
    <row r="298" spans="4:5">
      <c r="D298" s="129"/>
      <c r="E298" s="129"/>
    </row>
    <row r="299" spans="4:5">
      <c r="D299" s="129"/>
      <c r="E299" s="129"/>
    </row>
    <row r="300" spans="4:5">
      <c r="D300" s="129"/>
      <c r="E300" s="129"/>
    </row>
    <row r="301" spans="4:5">
      <c r="D301" s="129"/>
      <c r="E301" s="129"/>
    </row>
    <row r="302" spans="4:5">
      <c r="D302" s="129"/>
      <c r="E302" s="129"/>
    </row>
    <row r="303" spans="4:5">
      <c r="D303" s="129"/>
      <c r="E303" s="129"/>
    </row>
    <row r="304" spans="4:5">
      <c r="D304" s="129"/>
      <c r="E304" s="129"/>
    </row>
    <row r="305" spans="4:5">
      <c r="D305" s="129"/>
      <c r="E305" s="129"/>
    </row>
    <row r="306" spans="4:5">
      <c r="D306" s="129"/>
      <c r="E306" s="129"/>
    </row>
    <row r="307" spans="4:5">
      <c r="D307" s="129"/>
      <c r="E307" s="129"/>
    </row>
    <row r="308" spans="4:5">
      <c r="D308" s="129"/>
      <c r="E308" s="129"/>
    </row>
    <row r="309" spans="4:5">
      <c r="D309" s="129"/>
      <c r="E309" s="129"/>
    </row>
    <row r="310" spans="4:5">
      <c r="D310" s="129"/>
      <c r="E310" s="129"/>
    </row>
    <row r="311" spans="4:5">
      <c r="D311" s="129"/>
      <c r="E311" s="129"/>
    </row>
    <row r="312" spans="4:5">
      <c r="D312" s="129"/>
      <c r="E312" s="129"/>
    </row>
    <row r="313" spans="4:5">
      <c r="D313" s="129"/>
      <c r="E313" s="129"/>
    </row>
    <row r="314" spans="4:5">
      <c r="D314" s="129"/>
      <c r="E314" s="129"/>
    </row>
    <row r="315" spans="4:5">
      <c r="D315" s="129"/>
      <c r="E315" s="129"/>
    </row>
    <row r="316" spans="4:5">
      <c r="D316" s="129"/>
      <c r="E316" s="129"/>
    </row>
    <row r="317" spans="4:5">
      <c r="D317" s="129"/>
      <c r="E317" s="129"/>
    </row>
    <row r="318" spans="4:5">
      <c r="D318" s="129"/>
      <c r="E318" s="129"/>
    </row>
    <row r="319" spans="4:5">
      <c r="D319" s="129"/>
      <c r="E319" s="129"/>
    </row>
    <row r="320" spans="4:5">
      <c r="D320" s="129"/>
      <c r="E320" s="129"/>
    </row>
    <row r="321" spans="4:5">
      <c r="D321" s="129"/>
      <c r="E321" s="129"/>
    </row>
    <row r="322" spans="4:5">
      <c r="D322" s="129"/>
      <c r="E322" s="129"/>
    </row>
    <row r="323" spans="4:5">
      <c r="D323" s="129"/>
      <c r="E323" s="129"/>
    </row>
    <row r="324" spans="4:5">
      <c r="D324" s="129"/>
      <c r="E324" s="129"/>
    </row>
    <row r="325" spans="4:5">
      <c r="D325" s="129"/>
      <c r="E325" s="129"/>
    </row>
    <row r="326" spans="4:5">
      <c r="D326" s="129"/>
      <c r="E326" s="129"/>
    </row>
    <row r="327" spans="4:5">
      <c r="D327" s="129"/>
      <c r="E327" s="129"/>
    </row>
    <row r="328" spans="4:5">
      <c r="D328" s="129"/>
      <c r="E328" s="129"/>
    </row>
    <row r="329" spans="4:5">
      <c r="D329" s="129"/>
      <c r="E329" s="129"/>
    </row>
    <row r="330" spans="4:5">
      <c r="D330" s="129"/>
      <c r="E330" s="129"/>
    </row>
    <row r="331" spans="4:5">
      <c r="D331" s="129"/>
      <c r="E331" s="129"/>
    </row>
    <row r="332" spans="4:5">
      <c r="D332" s="129"/>
      <c r="E332" s="129"/>
    </row>
    <row r="333" spans="4:5">
      <c r="D333" s="129"/>
      <c r="E333" s="129"/>
    </row>
    <row r="334" spans="4:5">
      <c r="D334" s="129"/>
      <c r="E334" s="129"/>
    </row>
    <row r="335" spans="4:5">
      <c r="D335" s="129"/>
      <c r="E335" s="129"/>
    </row>
    <row r="336" spans="4:5">
      <c r="D336" s="129"/>
      <c r="E336" s="129"/>
    </row>
    <row r="337" spans="4:5">
      <c r="D337" s="129"/>
      <c r="E337" s="129"/>
    </row>
    <row r="338" spans="4:5">
      <c r="D338" s="129"/>
      <c r="E338" s="129"/>
    </row>
    <row r="339" spans="4:5">
      <c r="D339" s="129"/>
      <c r="E339" s="129"/>
    </row>
    <row r="340" spans="4:5">
      <c r="D340" s="129"/>
      <c r="E340" s="129"/>
    </row>
    <row r="341" spans="4:5">
      <c r="D341" s="129"/>
      <c r="E341" s="129"/>
    </row>
    <row r="342" spans="4:5">
      <c r="D342" s="129"/>
      <c r="E342" s="129"/>
    </row>
    <row r="343" spans="4:5">
      <c r="D343" s="129"/>
      <c r="E343" s="129"/>
    </row>
    <row r="344" spans="4:5">
      <c r="D344" s="129"/>
      <c r="E344" s="129"/>
    </row>
  </sheetData>
  <mergeCells count="5">
    <mergeCell ref="A8:R8"/>
    <mergeCell ref="A4:R4"/>
    <mergeCell ref="A5:R5"/>
    <mergeCell ref="A6:R6"/>
    <mergeCell ref="A7:R7"/>
  </mergeCells>
  <phoneticPr fontId="5" type="noConversion"/>
  <pageMargins left="0.75" right="0.75" top="1" bottom="1" header="0.5" footer="0.5"/>
  <pageSetup scale="52" orientation="landscape" r:id="rId1"/>
  <headerFooter alignWithMargins="0"/>
  <ignoredErrors>
    <ignoredError sqref="P14:P15" formulaRange="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17"/>
    <pageSetUpPr fitToPage="1"/>
  </sheetPr>
  <dimension ref="A1:Y340"/>
  <sheetViews>
    <sheetView zoomScale="80" zoomScaleNormal="80" workbookViewId="0">
      <selection activeCell="P16" sqref="P16"/>
    </sheetView>
  </sheetViews>
  <sheetFormatPr defaultRowHeight="12.75"/>
  <cols>
    <col min="1" max="1" width="4.42578125" bestFit="1" customWidth="1"/>
    <col min="2" max="2" width="41.5703125" bestFit="1" customWidth="1"/>
    <col min="3" max="3" width="6" style="14" bestFit="1" customWidth="1"/>
    <col min="4" max="4" width="9.85546875" bestFit="1" customWidth="1"/>
    <col min="5" max="6" width="12.7109375" customWidth="1"/>
    <col min="7" max="7" width="12.28515625" bestFit="1" customWidth="1"/>
    <col min="8" max="8" width="13" customWidth="1"/>
    <col min="9" max="11" width="10.85546875" bestFit="1" customWidth="1"/>
    <col min="12" max="12" width="13.5703125" bestFit="1" customWidth="1"/>
    <col min="13" max="14" width="12.5703125" bestFit="1" customWidth="1"/>
    <col min="15" max="15" width="14.7109375" bestFit="1" customWidth="1"/>
    <col min="16" max="16" width="11.85546875" bestFit="1" customWidth="1"/>
    <col min="17" max="17" width="16.5703125" bestFit="1" customWidth="1"/>
    <col min="18" max="18" width="10.85546875" bestFit="1" customWidth="1"/>
  </cols>
  <sheetData>
    <row r="1" spans="1:18">
      <c r="Q1" t="str">
        <f>A!D1</f>
        <v>Docket No. RP16-299-000</v>
      </c>
    </row>
    <row r="2" spans="1:18">
      <c r="B2" s="188" t="s">
        <v>774</v>
      </c>
      <c r="Q2" t="s">
        <v>169</v>
      </c>
    </row>
    <row r="3" spans="1:18">
      <c r="Q3" t="s">
        <v>251</v>
      </c>
    </row>
    <row r="4" spans="1:18">
      <c r="A4" s="929" t="str">
        <f>'H-1 (1)(c) $'!A4:R4</f>
        <v>Tuscarora Gas Transmission Company</v>
      </c>
      <c r="B4" s="927"/>
      <c r="C4" s="927"/>
      <c r="D4" s="927"/>
      <c r="E4" s="927"/>
      <c r="F4" s="927"/>
      <c r="G4" s="927"/>
      <c r="H4" s="927"/>
      <c r="I4" s="927"/>
      <c r="J4" s="927"/>
      <c r="K4" s="927"/>
      <c r="L4" s="927"/>
      <c r="M4" s="927"/>
      <c r="N4" s="927"/>
      <c r="O4" s="927"/>
      <c r="P4" s="927"/>
      <c r="Q4" s="927"/>
      <c r="R4" s="927"/>
    </row>
    <row r="5" spans="1:18">
      <c r="A5" s="927" t="s">
        <v>453</v>
      </c>
      <c r="B5" s="927"/>
      <c r="C5" s="927"/>
      <c r="D5" s="927"/>
      <c r="E5" s="927"/>
      <c r="F5" s="927"/>
      <c r="G5" s="927"/>
      <c r="H5" s="927"/>
      <c r="I5" s="927"/>
      <c r="J5" s="927"/>
      <c r="K5" s="927"/>
      <c r="L5" s="927"/>
      <c r="M5" s="927"/>
      <c r="N5" s="927"/>
      <c r="O5" s="927"/>
      <c r="P5" s="927"/>
      <c r="Q5" s="927"/>
      <c r="R5" s="927"/>
    </row>
    <row r="6" spans="1:18">
      <c r="A6" s="928" t="s">
        <v>190</v>
      </c>
      <c r="B6" s="928"/>
      <c r="C6" s="928"/>
      <c r="D6" s="928"/>
      <c r="E6" s="928"/>
      <c r="F6" s="928"/>
      <c r="G6" s="928"/>
      <c r="H6" s="928"/>
      <c r="I6" s="928"/>
      <c r="J6" s="928"/>
      <c r="K6" s="928"/>
      <c r="L6" s="928"/>
      <c r="M6" s="928"/>
      <c r="N6" s="928"/>
      <c r="O6" s="928"/>
      <c r="P6" s="928"/>
      <c r="Q6" s="928"/>
      <c r="R6" s="928"/>
    </row>
    <row r="7" spans="1:18">
      <c r="A7" s="929" t="str">
        <f>'Title Input and Macros'!B9</f>
        <v>For the Twelve Months Ended December 31, 2015, As Adjusted</v>
      </c>
      <c r="B7" s="929"/>
      <c r="C7" s="929"/>
      <c r="D7" s="929"/>
      <c r="E7" s="929"/>
      <c r="F7" s="929"/>
      <c r="G7" s="929"/>
      <c r="H7" s="929"/>
      <c r="I7" s="929"/>
      <c r="J7" s="929"/>
      <c r="K7" s="929"/>
      <c r="L7" s="929"/>
      <c r="M7" s="929"/>
      <c r="N7" s="929"/>
      <c r="O7" s="929"/>
      <c r="P7" s="929"/>
      <c r="Q7" s="929"/>
      <c r="R7" s="929"/>
    </row>
    <row r="8" spans="1:18">
      <c r="A8" s="929"/>
      <c r="B8" s="929"/>
      <c r="C8" s="929"/>
      <c r="D8" s="929"/>
      <c r="E8" s="929"/>
      <c r="G8" s="2"/>
    </row>
    <row r="9" spans="1:18" s="2" customFormat="1">
      <c r="C9" s="14"/>
    </row>
    <row r="10" spans="1:18">
      <c r="A10" s="2" t="s">
        <v>352</v>
      </c>
      <c r="B10" s="2"/>
      <c r="C10" s="14" t="s">
        <v>394</v>
      </c>
      <c r="D10" s="2"/>
      <c r="E10" s="2"/>
      <c r="F10" s="2"/>
      <c r="G10" s="2"/>
      <c r="H10" s="2"/>
      <c r="I10" s="2"/>
      <c r="J10" s="2"/>
      <c r="K10" s="2"/>
      <c r="L10" s="2"/>
      <c r="M10" s="2"/>
      <c r="N10" s="2"/>
      <c r="O10" s="2"/>
      <c r="P10" s="2"/>
      <c r="Q10" s="2"/>
      <c r="R10" s="2" t="s">
        <v>326</v>
      </c>
    </row>
    <row r="11" spans="1:18">
      <c r="A11" s="3" t="s">
        <v>353</v>
      </c>
      <c r="B11" s="3" t="s">
        <v>354</v>
      </c>
      <c r="C11" s="15" t="s">
        <v>353</v>
      </c>
      <c r="D11" s="3" t="str">
        <f>'Title Input and Macros'!$B16</f>
        <v>January</v>
      </c>
      <c r="E11" s="3" t="str">
        <f>'Title Input and Macros'!$B17</f>
        <v>February</v>
      </c>
      <c r="F11" s="3" t="str">
        <f>'Title Input and Macros'!$B18</f>
        <v>March</v>
      </c>
      <c r="G11" s="3" t="str">
        <f>'Title Input and Macros'!$B19</f>
        <v>April</v>
      </c>
      <c r="H11" s="3" t="str">
        <f>'Title Input and Macros'!$B20</f>
        <v>May</v>
      </c>
      <c r="I11" s="3" t="str">
        <f>'Title Input and Macros'!$B21</f>
        <v>June</v>
      </c>
      <c r="J11" s="3" t="str">
        <f>'Title Input and Macros'!$B22</f>
        <v>July</v>
      </c>
      <c r="K11" s="3" t="str">
        <f>'Title Input and Macros'!$B23</f>
        <v>August</v>
      </c>
      <c r="L11" s="3" t="str">
        <f>'Title Input and Macros'!$B24</f>
        <v>September</v>
      </c>
      <c r="M11" s="3" t="str">
        <f>'Title Input and Macros'!$B25</f>
        <v>October</v>
      </c>
      <c r="N11" s="3" t="str">
        <f>'Title Input and Macros'!$B26</f>
        <v>November</v>
      </c>
      <c r="O11" s="3" t="str">
        <f>'Title Input and Macros'!$B27</f>
        <v>December</v>
      </c>
      <c r="P11" s="3" t="s">
        <v>38</v>
      </c>
      <c r="Q11" s="3" t="s">
        <v>401</v>
      </c>
      <c r="R11" s="3" t="s">
        <v>402</v>
      </c>
    </row>
    <row r="12" spans="1:18">
      <c r="B12" s="2" t="s">
        <v>361</v>
      </c>
      <c r="C12" s="14" t="s">
        <v>362</v>
      </c>
      <c r="D12" s="2" t="s">
        <v>366</v>
      </c>
      <c r="E12" s="2" t="s">
        <v>363</v>
      </c>
      <c r="F12" s="2" t="s">
        <v>364</v>
      </c>
      <c r="G12" s="2" t="s">
        <v>379</v>
      </c>
      <c r="H12" s="2" t="s">
        <v>380</v>
      </c>
      <c r="I12" s="2" t="s">
        <v>403</v>
      </c>
      <c r="J12" s="2" t="s">
        <v>404</v>
      </c>
      <c r="K12" s="2" t="s">
        <v>351</v>
      </c>
      <c r="L12" s="2" t="s">
        <v>250</v>
      </c>
      <c r="M12" s="2" t="s">
        <v>254</v>
      </c>
      <c r="N12" s="2" t="s">
        <v>313</v>
      </c>
      <c r="O12" s="2" t="s">
        <v>314</v>
      </c>
      <c r="P12" s="2" t="s">
        <v>315</v>
      </c>
      <c r="Q12" s="2" t="s">
        <v>316</v>
      </c>
      <c r="R12" s="2" t="s">
        <v>317</v>
      </c>
    </row>
    <row r="13" spans="1:18">
      <c r="D13" s="2" t="s">
        <v>47</v>
      </c>
      <c r="E13" s="2" t="s">
        <v>47</v>
      </c>
      <c r="F13" s="2" t="s">
        <v>47</v>
      </c>
      <c r="G13" s="2" t="s">
        <v>47</v>
      </c>
      <c r="H13" s="2" t="s">
        <v>47</v>
      </c>
      <c r="I13" s="2" t="s">
        <v>47</v>
      </c>
      <c r="J13" s="2" t="s">
        <v>47</v>
      </c>
      <c r="K13" s="2" t="s">
        <v>47</v>
      </c>
      <c r="L13" s="2" t="s">
        <v>47</v>
      </c>
      <c r="M13" s="2" t="s">
        <v>47</v>
      </c>
      <c r="N13" s="2" t="s">
        <v>47</v>
      </c>
      <c r="O13" s="2" t="s">
        <v>47</v>
      </c>
      <c r="P13" s="2" t="s">
        <v>47</v>
      </c>
      <c r="Q13" s="2" t="s">
        <v>47</v>
      </c>
      <c r="R13" s="2" t="s">
        <v>47</v>
      </c>
    </row>
    <row r="14" spans="1:18">
      <c r="A14">
        <v>1</v>
      </c>
      <c r="B14" s="517" t="s">
        <v>171</v>
      </c>
      <c r="C14" s="518"/>
      <c r="D14" s="524"/>
      <c r="E14" s="524"/>
      <c r="F14" s="524"/>
      <c r="G14" s="524"/>
      <c r="H14" s="524"/>
      <c r="I14" s="524"/>
      <c r="J14" s="524"/>
      <c r="K14" s="524"/>
      <c r="L14" s="524"/>
      <c r="M14" s="524"/>
      <c r="N14" s="524"/>
      <c r="O14" s="524"/>
      <c r="P14" s="2"/>
      <c r="Q14" s="2"/>
      <c r="R14" s="2"/>
    </row>
    <row r="15" spans="1:18">
      <c r="A15">
        <f>A14+1</f>
        <v>2</v>
      </c>
      <c r="B15" s="513" t="s">
        <v>172</v>
      </c>
      <c r="C15" s="519">
        <v>810</v>
      </c>
      <c r="D15" s="522">
        <v>-33363</v>
      </c>
      <c r="E15" s="522">
        <v>-14707</v>
      </c>
      <c r="F15" s="522">
        <v>-13582</v>
      </c>
      <c r="G15" s="522">
        <v>-3308</v>
      </c>
      <c r="H15" s="522">
        <v>-2691</v>
      </c>
      <c r="I15" s="522">
        <v>-10334</v>
      </c>
      <c r="J15" s="522">
        <v>-6191</v>
      </c>
      <c r="K15" s="522">
        <v>-7314</v>
      </c>
      <c r="L15" s="522">
        <v>-2864</v>
      </c>
      <c r="M15" s="522">
        <v>-1148</v>
      </c>
      <c r="N15" s="522">
        <v>-7668</v>
      </c>
      <c r="O15" s="522">
        <v>-39481</v>
      </c>
      <c r="P15" s="70">
        <f>SUM(D15:O15)</f>
        <v>-142651</v>
      </c>
      <c r="Q15" s="194">
        <f>-P15</f>
        <v>142651</v>
      </c>
      <c r="R15" s="70">
        <f>+P15+Q15</f>
        <v>0</v>
      </c>
    </row>
    <row r="16" spans="1:18">
      <c r="A16">
        <f t="shared" ref="A16:A17" si="0">A15+1</f>
        <v>3</v>
      </c>
      <c r="B16" s="520" t="s">
        <v>656</v>
      </c>
      <c r="C16" s="521">
        <v>812</v>
      </c>
      <c r="D16" s="522">
        <v>-34334</v>
      </c>
      <c r="E16" s="522">
        <v>-65811</v>
      </c>
      <c r="F16" s="522">
        <v>51056</v>
      </c>
      <c r="G16" s="522">
        <v>21</v>
      </c>
      <c r="H16" s="522">
        <v>641</v>
      </c>
      <c r="I16" s="522">
        <v>30075</v>
      </c>
      <c r="J16" s="522">
        <v>23999</v>
      </c>
      <c r="K16" s="522">
        <v>70886</v>
      </c>
      <c r="L16" s="522">
        <v>-44</v>
      </c>
      <c r="M16" s="522">
        <v>-21926</v>
      </c>
      <c r="N16" s="522">
        <v>17780</v>
      </c>
      <c r="O16" s="522">
        <v>-120544</v>
      </c>
      <c r="P16" s="70">
        <f>SUM(D16:O16)</f>
        <v>-48201</v>
      </c>
      <c r="Q16" s="194">
        <f>-P16</f>
        <v>48201</v>
      </c>
      <c r="R16" s="70">
        <f>+P16+Q16</f>
        <v>0</v>
      </c>
    </row>
    <row r="17" spans="1:25" ht="13.5" thickBot="1">
      <c r="A17">
        <f t="shared" si="0"/>
        <v>4</v>
      </c>
      <c r="B17" s="517" t="s">
        <v>356</v>
      </c>
      <c r="D17" s="71">
        <f t="shared" ref="D17:R17" si="1">SUM(D15:D16)</f>
        <v>-67697</v>
      </c>
      <c r="E17" s="71">
        <f t="shared" si="1"/>
        <v>-80518</v>
      </c>
      <c r="F17" s="71">
        <f t="shared" si="1"/>
        <v>37474</v>
      </c>
      <c r="G17" s="71">
        <f t="shared" si="1"/>
        <v>-3287</v>
      </c>
      <c r="H17" s="71">
        <f t="shared" si="1"/>
        <v>-2050</v>
      </c>
      <c r="I17" s="71">
        <f t="shared" si="1"/>
        <v>19741</v>
      </c>
      <c r="J17" s="71">
        <f t="shared" si="1"/>
        <v>17808</v>
      </c>
      <c r="K17" s="71">
        <f t="shared" si="1"/>
        <v>63572</v>
      </c>
      <c r="L17" s="71">
        <f t="shared" si="1"/>
        <v>-2908</v>
      </c>
      <c r="M17" s="71">
        <f t="shared" si="1"/>
        <v>-23074</v>
      </c>
      <c r="N17" s="71">
        <f t="shared" si="1"/>
        <v>10112</v>
      </c>
      <c r="O17" s="71">
        <f t="shared" si="1"/>
        <v>-160025</v>
      </c>
      <c r="P17" s="71">
        <f t="shared" si="1"/>
        <v>-190852</v>
      </c>
      <c r="Q17" s="71">
        <f t="shared" si="1"/>
        <v>190852</v>
      </c>
      <c r="R17" s="71">
        <f t="shared" si="1"/>
        <v>0</v>
      </c>
      <c r="S17" s="9"/>
      <c r="T17" s="9"/>
      <c r="U17" s="9"/>
      <c r="V17" s="9"/>
      <c r="W17" s="9"/>
      <c r="X17" s="9"/>
      <c r="Y17" s="9"/>
    </row>
    <row r="18" spans="1:25" ht="13.5" thickTop="1"/>
    <row r="21" spans="1:25">
      <c r="C21" s="523"/>
    </row>
    <row r="46" spans="4:5">
      <c r="D46" s="5"/>
      <c r="E46" s="5"/>
    </row>
    <row r="47" spans="4:5">
      <c r="D47" s="5"/>
      <c r="E47" s="5"/>
    </row>
    <row r="48" spans="4:5">
      <c r="D48" s="5"/>
      <c r="E48" s="5"/>
    </row>
    <row r="49" spans="4:5">
      <c r="D49" s="5"/>
      <c r="E49" s="5"/>
    </row>
    <row r="50" spans="4:5">
      <c r="D50" s="5"/>
      <c r="E50" s="5"/>
    </row>
    <row r="51" spans="4:5">
      <c r="D51" s="5"/>
      <c r="E51" s="5"/>
    </row>
    <row r="52" spans="4:5">
      <c r="D52" s="5"/>
      <c r="E52" s="5"/>
    </row>
    <row r="53" spans="4:5">
      <c r="D53" s="5"/>
      <c r="E53" s="5"/>
    </row>
    <row r="54" spans="4:5">
      <c r="D54" s="5"/>
      <c r="E54" s="5"/>
    </row>
    <row r="55" spans="4:5">
      <c r="D55" s="5"/>
      <c r="E55" s="5"/>
    </row>
    <row r="56" spans="4:5">
      <c r="D56" s="5"/>
      <c r="E56" s="5"/>
    </row>
    <row r="57" spans="4:5">
      <c r="D57" s="5"/>
      <c r="E57" s="5"/>
    </row>
    <row r="58" spans="4:5">
      <c r="D58" s="5"/>
      <c r="E58" s="5"/>
    </row>
    <row r="59" spans="4:5">
      <c r="D59" s="5"/>
      <c r="E59" s="5"/>
    </row>
    <row r="60" spans="4:5">
      <c r="D60" s="5"/>
      <c r="E60" s="5"/>
    </row>
    <row r="61" spans="4:5">
      <c r="D61" s="5"/>
      <c r="E61" s="5"/>
    </row>
    <row r="62" spans="4:5">
      <c r="D62" s="5"/>
      <c r="E62" s="5"/>
    </row>
    <row r="63" spans="4:5">
      <c r="D63" s="5"/>
      <c r="E63" s="5"/>
    </row>
    <row r="64" spans="4:5">
      <c r="D64" s="5"/>
      <c r="E64" s="5"/>
    </row>
    <row r="65" spans="4:5">
      <c r="D65" s="5"/>
      <c r="E65" s="5"/>
    </row>
    <row r="66" spans="4:5">
      <c r="D66" s="5"/>
      <c r="E66" s="5"/>
    </row>
    <row r="67" spans="4:5">
      <c r="D67" s="5"/>
      <c r="E67" s="5"/>
    </row>
    <row r="68" spans="4:5">
      <c r="D68" s="5"/>
      <c r="E68" s="5"/>
    </row>
    <row r="69" spans="4:5">
      <c r="D69" s="5"/>
      <c r="E69" s="5"/>
    </row>
    <row r="70" spans="4:5">
      <c r="D70" s="5"/>
      <c r="E70" s="5"/>
    </row>
    <row r="71" spans="4:5">
      <c r="D71" s="5"/>
      <c r="E71" s="5"/>
    </row>
    <row r="72" spans="4:5">
      <c r="D72" s="5"/>
      <c r="E72" s="5"/>
    </row>
    <row r="73" spans="4:5">
      <c r="D73" s="5"/>
      <c r="E73" s="5"/>
    </row>
    <row r="74" spans="4:5">
      <c r="D74" s="5"/>
      <c r="E74" s="5"/>
    </row>
    <row r="75" spans="4:5">
      <c r="D75" s="5"/>
      <c r="E75" s="5"/>
    </row>
    <row r="76" spans="4:5">
      <c r="D76" s="5"/>
      <c r="E76" s="5"/>
    </row>
    <row r="77" spans="4:5">
      <c r="D77" s="5"/>
      <c r="E77" s="5"/>
    </row>
    <row r="78" spans="4:5">
      <c r="D78" s="5"/>
      <c r="E78" s="5"/>
    </row>
    <row r="79" spans="4:5">
      <c r="D79" s="5"/>
      <c r="E79" s="5"/>
    </row>
    <row r="80" spans="4:5">
      <c r="D80" s="5"/>
      <c r="E80" s="5"/>
    </row>
    <row r="81" spans="4:5">
      <c r="D81" s="5"/>
      <c r="E81" s="5"/>
    </row>
    <row r="82" spans="4:5">
      <c r="D82" s="5"/>
      <c r="E82" s="5"/>
    </row>
    <row r="83" spans="4:5">
      <c r="D83" s="5"/>
      <c r="E83" s="5"/>
    </row>
    <row r="84" spans="4:5">
      <c r="D84" s="5"/>
      <c r="E84" s="5"/>
    </row>
    <row r="85" spans="4:5">
      <c r="D85" s="5"/>
      <c r="E85" s="5"/>
    </row>
    <row r="86" spans="4:5">
      <c r="D86" s="5"/>
      <c r="E86" s="5"/>
    </row>
    <row r="87" spans="4:5">
      <c r="D87" s="5"/>
      <c r="E87" s="5"/>
    </row>
    <row r="88" spans="4:5">
      <c r="D88" s="5"/>
      <c r="E88" s="5"/>
    </row>
    <row r="89" spans="4:5">
      <c r="D89" s="5"/>
      <c r="E89" s="5"/>
    </row>
    <row r="90" spans="4:5">
      <c r="D90" s="5"/>
      <c r="E90" s="5"/>
    </row>
    <row r="91" spans="4:5">
      <c r="D91" s="5"/>
      <c r="E91" s="5"/>
    </row>
    <row r="92" spans="4:5">
      <c r="D92" s="5"/>
      <c r="E92" s="5"/>
    </row>
    <row r="93" spans="4:5">
      <c r="D93" s="5"/>
      <c r="E93" s="5"/>
    </row>
    <row r="94" spans="4:5">
      <c r="D94" s="5"/>
      <c r="E94" s="5"/>
    </row>
    <row r="95" spans="4:5">
      <c r="D95" s="5"/>
      <c r="E95" s="5"/>
    </row>
    <row r="96" spans="4:5">
      <c r="D96" s="5"/>
      <c r="E96" s="5"/>
    </row>
    <row r="97" spans="4:5">
      <c r="D97" s="5"/>
      <c r="E97" s="5"/>
    </row>
    <row r="98" spans="4:5">
      <c r="D98" s="5"/>
      <c r="E98" s="5"/>
    </row>
    <row r="99" spans="4:5">
      <c r="D99" s="5"/>
      <c r="E99" s="5"/>
    </row>
    <row r="100" spans="4:5">
      <c r="D100" s="5"/>
      <c r="E100" s="5"/>
    </row>
    <row r="101" spans="4:5">
      <c r="D101" s="5"/>
      <c r="E101" s="5"/>
    </row>
    <row r="102" spans="4:5">
      <c r="D102" s="5"/>
      <c r="E102" s="5"/>
    </row>
    <row r="103" spans="4:5">
      <c r="D103" s="5"/>
      <c r="E103" s="5"/>
    </row>
    <row r="104" spans="4:5">
      <c r="D104" s="5"/>
      <c r="E104" s="5"/>
    </row>
    <row r="105" spans="4:5">
      <c r="D105" s="5"/>
      <c r="E105" s="5"/>
    </row>
    <row r="106" spans="4:5">
      <c r="D106" s="5"/>
      <c r="E106" s="5"/>
    </row>
    <row r="107" spans="4:5">
      <c r="D107" s="5"/>
      <c r="E107" s="5"/>
    </row>
    <row r="108" spans="4:5">
      <c r="D108" s="5"/>
      <c r="E108" s="5"/>
    </row>
    <row r="109" spans="4:5">
      <c r="D109" s="5"/>
      <c r="E109" s="5"/>
    </row>
    <row r="110" spans="4:5">
      <c r="D110" s="5"/>
      <c r="E110" s="5"/>
    </row>
    <row r="111" spans="4:5">
      <c r="D111" s="5"/>
      <c r="E111" s="5"/>
    </row>
    <row r="112" spans="4:5">
      <c r="D112" s="5"/>
      <c r="E112" s="5"/>
    </row>
    <row r="113" spans="4:5">
      <c r="D113" s="5"/>
      <c r="E113" s="5"/>
    </row>
    <row r="114" spans="4:5">
      <c r="D114" s="5"/>
      <c r="E114" s="5"/>
    </row>
    <row r="115" spans="4:5">
      <c r="D115" s="5"/>
      <c r="E115" s="5"/>
    </row>
    <row r="116" spans="4:5">
      <c r="D116" s="5"/>
      <c r="E116" s="5"/>
    </row>
    <row r="117" spans="4:5">
      <c r="D117" s="5"/>
      <c r="E117" s="5"/>
    </row>
    <row r="118" spans="4:5">
      <c r="D118" s="5"/>
      <c r="E118" s="5"/>
    </row>
    <row r="119" spans="4:5">
      <c r="D119" s="5"/>
      <c r="E119" s="5"/>
    </row>
    <row r="120" spans="4:5">
      <c r="D120" s="5"/>
      <c r="E120" s="5"/>
    </row>
    <row r="121" spans="4:5">
      <c r="D121" s="5"/>
      <c r="E121" s="5"/>
    </row>
    <row r="122" spans="4:5">
      <c r="D122" s="5"/>
      <c r="E122" s="5"/>
    </row>
    <row r="123" spans="4:5">
      <c r="D123" s="5"/>
      <c r="E123" s="5"/>
    </row>
    <row r="124" spans="4:5">
      <c r="D124" s="5"/>
      <c r="E124" s="5"/>
    </row>
    <row r="125" spans="4:5">
      <c r="D125" s="5"/>
      <c r="E125" s="5"/>
    </row>
    <row r="126" spans="4:5">
      <c r="D126" s="5"/>
      <c r="E126" s="5"/>
    </row>
    <row r="127" spans="4:5">
      <c r="D127" s="5"/>
      <c r="E127" s="5"/>
    </row>
    <row r="128" spans="4:5">
      <c r="D128" s="5"/>
      <c r="E128" s="5"/>
    </row>
    <row r="129" spans="4:5">
      <c r="D129" s="5"/>
      <c r="E129" s="5"/>
    </row>
    <row r="130" spans="4:5">
      <c r="D130" s="5"/>
      <c r="E130" s="5"/>
    </row>
    <row r="131" spans="4:5">
      <c r="D131" s="5"/>
      <c r="E131" s="5"/>
    </row>
    <row r="132" spans="4:5">
      <c r="D132" s="5"/>
      <c r="E132" s="5"/>
    </row>
    <row r="133" spans="4:5">
      <c r="D133" s="5"/>
      <c r="E133" s="5"/>
    </row>
    <row r="134" spans="4:5">
      <c r="D134" s="5"/>
      <c r="E134" s="5"/>
    </row>
    <row r="135" spans="4:5">
      <c r="D135" s="5"/>
      <c r="E135" s="5"/>
    </row>
    <row r="136" spans="4:5">
      <c r="D136" s="5"/>
      <c r="E136" s="5"/>
    </row>
    <row r="137" spans="4:5">
      <c r="D137" s="5"/>
      <c r="E137" s="5"/>
    </row>
    <row r="138" spans="4:5">
      <c r="D138" s="5"/>
      <c r="E138" s="5"/>
    </row>
    <row r="139" spans="4:5">
      <c r="D139" s="5"/>
      <c r="E139" s="5"/>
    </row>
    <row r="140" spans="4:5">
      <c r="D140" s="5"/>
      <c r="E140" s="5"/>
    </row>
    <row r="141" spans="4:5">
      <c r="D141" s="5"/>
      <c r="E141" s="5"/>
    </row>
    <row r="142" spans="4:5">
      <c r="D142" s="5"/>
      <c r="E142" s="5"/>
    </row>
    <row r="143" spans="4:5">
      <c r="D143" s="5"/>
      <c r="E143" s="5"/>
    </row>
    <row r="144" spans="4:5">
      <c r="D144" s="5"/>
      <c r="E144" s="5"/>
    </row>
    <row r="145" spans="4:5">
      <c r="D145" s="5"/>
      <c r="E145" s="5"/>
    </row>
    <row r="146" spans="4:5">
      <c r="D146" s="5"/>
      <c r="E146" s="5"/>
    </row>
    <row r="147" spans="4:5">
      <c r="D147" s="5"/>
      <c r="E147" s="5"/>
    </row>
    <row r="148" spans="4:5">
      <c r="D148" s="5"/>
      <c r="E148" s="5"/>
    </row>
    <row r="149" spans="4:5">
      <c r="D149" s="5"/>
      <c r="E149" s="5"/>
    </row>
    <row r="150" spans="4:5">
      <c r="D150" s="5"/>
      <c r="E150" s="5"/>
    </row>
    <row r="151" spans="4:5">
      <c r="D151" s="5"/>
      <c r="E151" s="5"/>
    </row>
    <row r="152" spans="4:5">
      <c r="D152" s="5"/>
      <c r="E152" s="5"/>
    </row>
    <row r="153" spans="4:5">
      <c r="D153" s="5"/>
      <c r="E153" s="5"/>
    </row>
    <row r="154" spans="4:5">
      <c r="D154" s="5"/>
      <c r="E154" s="5"/>
    </row>
    <row r="155" spans="4:5">
      <c r="D155" s="5"/>
      <c r="E155" s="5"/>
    </row>
    <row r="156" spans="4:5">
      <c r="D156" s="5"/>
      <c r="E156" s="5"/>
    </row>
    <row r="157" spans="4:5">
      <c r="D157" s="5"/>
      <c r="E157" s="5"/>
    </row>
    <row r="158" spans="4:5">
      <c r="D158" s="5"/>
      <c r="E158" s="5"/>
    </row>
    <row r="159" spans="4:5">
      <c r="D159" s="5"/>
      <c r="E159" s="5"/>
    </row>
    <row r="160" spans="4:5">
      <c r="D160" s="5"/>
      <c r="E160" s="5"/>
    </row>
    <row r="161" spans="4:5">
      <c r="D161" s="5"/>
      <c r="E161" s="5"/>
    </row>
    <row r="162" spans="4:5">
      <c r="D162" s="5"/>
      <c r="E162" s="5"/>
    </row>
    <row r="163" spans="4:5">
      <c r="D163" s="5"/>
      <c r="E163" s="5"/>
    </row>
    <row r="164" spans="4:5">
      <c r="D164" s="5"/>
      <c r="E164" s="5"/>
    </row>
    <row r="165" spans="4:5">
      <c r="D165" s="5"/>
      <c r="E165" s="5"/>
    </row>
    <row r="166" spans="4:5">
      <c r="D166" s="5"/>
      <c r="E166" s="5"/>
    </row>
    <row r="167" spans="4:5">
      <c r="D167" s="5"/>
      <c r="E167" s="5"/>
    </row>
    <row r="168" spans="4:5">
      <c r="D168" s="5"/>
      <c r="E168" s="5"/>
    </row>
    <row r="169" spans="4:5">
      <c r="D169" s="5"/>
      <c r="E169" s="5"/>
    </row>
    <row r="170" spans="4:5">
      <c r="D170" s="5"/>
      <c r="E170" s="5"/>
    </row>
    <row r="171" spans="4:5">
      <c r="D171" s="5"/>
      <c r="E171" s="5"/>
    </row>
    <row r="172" spans="4:5">
      <c r="D172" s="5"/>
      <c r="E172" s="5"/>
    </row>
    <row r="173" spans="4:5">
      <c r="D173" s="5"/>
      <c r="E173" s="5"/>
    </row>
    <row r="174" spans="4:5">
      <c r="D174" s="5"/>
      <c r="E174" s="5"/>
    </row>
    <row r="175" spans="4:5">
      <c r="D175" s="5"/>
      <c r="E175" s="5"/>
    </row>
    <row r="176" spans="4:5">
      <c r="D176" s="5"/>
      <c r="E176" s="5"/>
    </row>
    <row r="177" spans="4:5">
      <c r="D177" s="5"/>
      <c r="E177" s="5"/>
    </row>
    <row r="178" spans="4:5">
      <c r="D178" s="5"/>
      <c r="E178" s="5"/>
    </row>
    <row r="179" spans="4:5">
      <c r="D179" s="5"/>
      <c r="E179" s="5"/>
    </row>
    <row r="180" spans="4:5">
      <c r="D180" s="5"/>
      <c r="E180" s="5"/>
    </row>
    <row r="181" spans="4:5">
      <c r="D181" s="5"/>
      <c r="E181" s="5"/>
    </row>
    <row r="182" spans="4:5">
      <c r="D182" s="5"/>
      <c r="E182" s="5"/>
    </row>
    <row r="183" spans="4:5">
      <c r="D183" s="5"/>
      <c r="E183" s="5"/>
    </row>
    <row r="184" spans="4:5">
      <c r="D184" s="5"/>
      <c r="E184" s="5"/>
    </row>
    <row r="185" spans="4:5">
      <c r="D185" s="5"/>
      <c r="E185" s="5"/>
    </row>
    <row r="186" spans="4:5">
      <c r="D186" s="5"/>
      <c r="E186" s="5"/>
    </row>
    <row r="187" spans="4:5">
      <c r="D187" s="5"/>
      <c r="E187" s="5"/>
    </row>
    <row r="188" spans="4:5">
      <c r="D188" s="5"/>
      <c r="E188" s="5"/>
    </row>
    <row r="189" spans="4:5">
      <c r="D189" s="5"/>
      <c r="E189" s="5"/>
    </row>
    <row r="190" spans="4:5">
      <c r="D190" s="5"/>
      <c r="E190" s="5"/>
    </row>
    <row r="191" spans="4:5">
      <c r="D191" s="5"/>
      <c r="E191" s="5"/>
    </row>
    <row r="192" spans="4:5">
      <c r="D192" s="5"/>
      <c r="E192" s="5"/>
    </row>
    <row r="193" spans="4:5">
      <c r="D193" s="5"/>
      <c r="E193" s="5"/>
    </row>
    <row r="194" spans="4:5">
      <c r="D194" s="5"/>
      <c r="E194" s="5"/>
    </row>
    <row r="195" spans="4:5">
      <c r="D195" s="5"/>
      <c r="E195" s="5"/>
    </row>
    <row r="196" spans="4:5">
      <c r="D196" s="5"/>
      <c r="E196" s="5"/>
    </row>
    <row r="197" spans="4:5">
      <c r="D197" s="5"/>
      <c r="E197" s="5"/>
    </row>
    <row r="198" spans="4:5">
      <c r="D198" s="5"/>
      <c r="E198" s="5"/>
    </row>
    <row r="199" spans="4:5">
      <c r="D199" s="5"/>
      <c r="E199" s="5"/>
    </row>
    <row r="200" spans="4:5">
      <c r="D200" s="5"/>
      <c r="E200" s="5"/>
    </row>
    <row r="201" spans="4:5">
      <c r="D201" s="5"/>
      <c r="E201" s="5"/>
    </row>
    <row r="202" spans="4:5">
      <c r="D202" s="5"/>
      <c r="E202" s="5"/>
    </row>
    <row r="203" spans="4:5">
      <c r="D203" s="5"/>
      <c r="E203" s="5"/>
    </row>
    <row r="204" spans="4:5">
      <c r="D204" s="5"/>
      <c r="E204" s="5"/>
    </row>
    <row r="205" spans="4:5">
      <c r="D205" s="5"/>
      <c r="E205" s="5"/>
    </row>
    <row r="206" spans="4:5">
      <c r="D206" s="5"/>
      <c r="E206" s="5"/>
    </row>
    <row r="207" spans="4:5">
      <c r="D207" s="5"/>
      <c r="E207" s="5"/>
    </row>
    <row r="208" spans="4:5">
      <c r="D208" s="5"/>
      <c r="E208" s="5"/>
    </row>
    <row r="209" spans="4:5">
      <c r="D209" s="5"/>
      <c r="E209" s="5"/>
    </row>
    <row r="210" spans="4:5">
      <c r="D210" s="5"/>
      <c r="E210" s="5"/>
    </row>
    <row r="211" spans="4:5">
      <c r="D211" s="5"/>
      <c r="E211" s="5"/>
    </row>
    <row r="212" spans="4:5">
      <c r="D212" s="5"/>
      <c r="E212" s="5"/>
    </row>
    <row r="213" spans="4:5">
      <c r="D213" s="5"/>
      <c r="E213" s="5"/>
    </row>
    <row r="214" spans="4:5">
      <c r="D214" s="5"/>
      <c r="E214" s="5"/>
    </row>
    <row r="215" spans="4:5">
      <c r="D215" s="5"/>
      <c r="E215" s="5"/>
    </row>
    <row r="216" spans="4:5">
      <c r="D216" s="5"/>
      <c r="E216" s="5"/>
    </row>
    <row r="217" spans="4:5">
      <c r="D217" s="5"/>
      <c r="E217" s="5"/>
    </row>
    <row r="218" spans="4:5">
      <c r="D218" s="5"/>
      <c r="E218" s="5"/>
    </row>
    <row r="219" spans="4:5">
      <c r="D219" s="5"/>
      <c r="E219" s="5"/>
    </row>
    <row r="220" spans="4:5">
      <c r="D220" s="5"/>
      <c r="E220" s="5"/>
    </row>
    <row r="221" spans="4:5">
      <c r="D221" s="5"/>
      <c r="E221" s="5"/>
    </row>
    <row r="222" spans="4:5">
      <c r="D222" s="5"/>
      <c r="E222" s="5"/>
    </row>
    <row r="223" spans="4:5">
      <c r="D223" s="5"/>
      <c r="E223" s="5"/>
    </row>
    <row r="224" spans="4:5">
      <c r="D224" s="5"/>
      <c r="E224" s="5"/>
    </row>
    <row r="225" spans="4:5">
      <c r="D225" s="5"/>
      <c r="E225" s="5"/>
    </row>
    <row r="226" spans="4:5">
      <c r="D226" s="5"/>
      <c r="E226" s="5"/>
    </row>
    <row r="227" spans="4:5">
      <c r="D227" s="5"/>
      <c r="E227" s="5"/>
    </row>
    <row r="228" spans="4:5">
      <c r="D228" s="5"/>
      <c r="E228" s="5"/>
    </row>
    <row r="229" spans="4:5">
      <c r="D229" s="5"/>
      <c r="E229" s="5"/>
    </row>
    <row r="230" spans="4:5">
      <c r="D230" s="5"/>
      <c r="E230" s="5"/>
    </row>
    <row r="231" spans="4:5">
      <c r="D231" s="5"/>
      <c r="E231" s="5"/>
    </row>
    <row r="232" spans="4:5">
      <c r="D232" s="5"/>
      <c r="E232" s="5"/>
    </row>
    <row r="233" spans="4:5">
      <c r="D233" s="5"/>
      <c r="E233" s="5"/>
    </row>
    <row r="234" spans="4:5">
      <c r="D234" s="5"/>
      <c r="E234" s="5"/>
    </row>
    <row r="235" spans="4:5">
      <c r="D235" s="5"/>
      <c r="E235" s="5"/>
    </row>
    <row r="236" spans="4:5">
      <c r="D236" s="5"/>
      <c r="E236" s="5"/>
    </row>
    <row r="237" spans="4:5">
      <c r="D237" s="5"/>
      <c r="E237" s="5"/>
    </row>
    <row r="238" spans="4:5">
      <c r="D238" s="5"/>
      <c r="E238" s="5"/>
    </row>
    <row r="239" spans="4:5">
      <c r="D239" s="5"/>
      <c r="E239" s="5"/>
    </row>
    <row r="240" spans="4:5">
      <c r="D240" s="5"/>
      <c r="E240" s="5"/>
    </row>
    <row r="241" spans="4:5">
      <c r="D241" s="5"/>
      <c r="E241" s="5"/>
    </row>
    <row r="242" spans="4:5">
      <c r="D242" s="5"/>
      <c r="E242" s="5"/>
    </row>
    <row r="243" spans="4:5">
      <c r="D243" s="5"/>
      <c r="E243" s="5"/>
    </row>
    <row r="244" spans="4:5">
      <c r="D244" s="5"/>
      <c r="E244" s="5"/>
    </row>
    <row r="245" spans="4:5">
      <c r="D245" s="5"/>
      <c r="E245" s="5"/>
    </row>
    <row r="246" spans="4:5">
      <c r="D246" s="5"/>
      <c r="E246" s="5"/>
    </row>
    <row r="247" spans="4:5">
      <c r="D247" s="5"/>
      <c r="E247" s="5"/>
    </row>
    <row r="248" spans="4:5">
      <c r="D248" s="5"/>
      <c r="E248" s="5"/>
    </row>
    <row r="249" spans="4:5">
      <c r="D249" s="5"/>
      <c r="E249" s="5"/>
    </row>
    <row r="250" spans="4:5">
      <c r="D250" s="5"/>
      <c r="E250" s="5"/>
    </row>
    <row r="251" spans="4:5">
      <c r="D251" s="5"/>
      <c r="E251" s="5"/>
    </row>
    <row r="252" spans="4:5">
      <c r="D252" s="5"/>
      <c r="E252" s="5"/>
    </row>
    <row r="253" spans="4:5">
      <c r="D253" s="5"/>
      <c r="E253" s="5"/>
    </row>
    <row r="254" spans="4:5">
      <c r="D254" s="5"/>
      <c r="E254" s="5"/>
    </row>
    <row r="255" spans="4:5">
      <c r="D255" s="5"/>
      <c r="E255" s="5"/>
    </row>
    <row r="256" spans="4:5">
      <c r="D256" s="5"/>
      <c r="E256" s="5"/>
    </row>
    <row r="257" spans="4:5">
      <c r="D257" s="5"/>
      <c r="E257" s="5"/>
    </row>
    <row r="258" spans="4:5">
      <c r="D258" s="5"/>
      <c r="E258" s="5"/>
    </row>
    <row r="259" spans="4:5">
      <c r="D259" s="5"/>
      <c r="E259" s="5"/>
    </row>
    <row r="260" spans="4:5">
      <c r="D260" s="5"/>
      <c r="E260" s="5"/>
    </row>
    <row r="261" spans="4:5">
      <c r="D261" s="5"/>
      <c r="E261" s="5"/>
    </row>
    <row r="262" spans="4:5">
      <c r="D262" s="5"/>
      <c r="E262" s="5"/>
    </row>
    <row r="263" spans="4:5">
      <c r="D263" s="5"/>
      <c r="E263" s="5"/>
    </row>
    <row r="264" spans="4:5">
      <c r="D264" s="5"/>
      <c r="E264" s="5"/>
    </row>
    <row r="265" spans="4:5">
      <c r="D265" s="5"/>
      <c r="E265" s="5"/>
    </row>
    <row r="266" spans="4:5">
      <c r="D266" s="5"/>
      <c r="E266" s="5"/>
    </row>
    <row r="267" spans="4:5">
      <c r="D267" s="5"/>
      <c r="E267" s="5"/>
    </row>
    <row r="268" spans="4:5">
      <c r="D268" s="5"/>
      <c r="E268" s="5"/>
    </row>
    <row r="269" spans="4:5">
      <c r="D269" s="5"/>
      <c r="E269" s="5"/>
    </row>
    <row r="270" spans="4:5">
      <c r="D270" s="5"/>
      <c r="E270" s="5"/>
    </row>
    <row r="271" spans="4:5">
      <c r="D271" s="5"/>
      <c r="E271" s="5"/>
    </row>
    <row r="272" spans="4:5">
      <c r="D272" s="5"/>
      <c r="E272" s="5"/>
    </row>
    <row r="273" spans="4:5">
      <c r="D273" s="5"/>
      <c r="E273" s="5"/>
    </row>
    <row r="274" spans="4:5">
      <c r="D274" s="5"/>
      <c r="E274" s="5"/>
    </row>
    <row r="275" spans="4:5">
      <c r="D275" s="5"/>
      <c r="E275" s="5"/>
    </row>
    <row r="276" spans="4:5">
      <c r="D276" s="5"/>
      <c r="E276" s="5"/>
    </row>
    <row r="277" spans="4:5">
      <c r="D277" s="5"/>
      <c r="E277" s="5"/>
    </row>
    <row r="278" spans="4:5">
      <c r="D278" s="5"/>
      <c r="E278" s="5"/>
    </row>
    <row r="279" spans="4:5">
      <c r="D279" s="5"/>
      <c r="E279" s="5"/>
    </row>
    <row r="280" spans="4:5">
      <c r="D280" s="5"/>
      <c r="E280" s="5"/>
    </row>
    <row r="281" spans="4:5">
      <c r="D281" s="5"/>
      <c r="E281" s="5"/>
    </row>
    <row r="282" spans="4:5">
      <c r="D282" s="5"/>
      <c r="E282" s="5"/>
    </row>
    <row r="283" spans="4:5">
      <c r="D283" s="5"/>
      <c r="E283" s="5"/>
    </row>
    <row r="284" spans="4:5">
      <c r="D284" s="5"/>
      <c r="E284" s="5"/>
    </row>
    <row r="285" spans="4:5">
      <c r="D285" s="5"/>
      <c r="E285" s="5"/>
    </row>
    <row r="286" spans="4:5">
      <c r="D286" s="5"/>
      <c r="E286" s="5"/>
    </row>
    <row r="287" spans="4:5">
      <c r="D287" s="5"/>
      <c r="E287" s="5"/>
    </row>
    <row r="288" spans="4:5">
      <c r="D288" s="5"/>
      <c r="E288" s="5"/>
    </row>
    <row r="289" spans="4:5">
      <c r="D289" s="5"/>
      <c r="E289" s="5"/>
    </row>
    <row r="290" spans="4:5">
      <c r="D290" s="5"/>
      <c r="E290" s="5"/>
    </row>
    <row r="291" spans="4:5">
      <c r="D291" s="5"/>
      <c r="E291" s="5"/>
    </row>
    <row r="292" spans="4:5">
      <c r="D292" s="5"/>
      <c r="E292" s="5"/>
    </row>
    <row r="293" spans="4:5">
      <c r="D293" s="5"/>
      <c r="E293" s="5"/>
    </row>
    <row r="294" spans="4:5">
      <c r="D294" s="5"/>
      <c r="E294" s="5"/>
    </row>
    <row r="295" spans="4:5">
      <c r="D295" s="5"/>
      <c r="E295" s="5"/>
    </row>
    <row r="296" spans="4:5">
      <c r="D296" s="5"/>
      <c r="E296" s="5"/>
    </row>
    <row r="297" spans="4:5">
      <c r="D297" s="5"/>
      <c r="E297" s="5"/>
    </row>
    <row r="298" spans="4:5">
      <c r="D298" s="5"/>
      <c r="E298" s="5"/>
    </row>
    <row r="299" spans="4:5">
      <c r="D299" s="5"/>
      <c r="E299" s="5"/>
    </row>
    <row r="300" spans="4:5">
      <c r="D300" s="5"/>
      <c r="E300" s="5"/>
    </row>
    <row r="301" spans="4:5">
      <c r="D301" s="5"/>
      <c r="E301" s="5"/>
    </row>
    <row r="302" spans="4:5">
      <c r="D302" s="5"/>
      <c r="E302" s="5"/>
    </row>
    <row r="303" spans="4:5">
      <c r="D303" s="5"/>
      <c r="E303" s="5"/>
    </row>
    <row r="304" spans="4:5">
      <c r="D304" s="5"/>
      <c r="E304" s="5"/>
    </row>
    <row r="305" spans="4:5">
      <c r="D305" s="5"/>
      <c r="E305" s="5"/>
    </row>
    <row r="306" spans="4:5">
      <c r="D306" s="5"/>
      <c r="E306" s="5"/>
    </row>
    <row r="307" spans="4:5">
      <c r="D307" s="5"/>
      <c r="E307" s="5"/>
    </row>
    <row r="308" spans="4:5">
      <c r="D308" s="5"/>
      <c r="E308" s="5"/>
    </row>
    <row r="309" spans="4:5">
      <c r="D309" s="5"/>
      <c r="E309" s="5"/>
    </row>
    <row r="310" spans="4:5">
      <c r="D310" s="5"/>
      <c r="E310" s="5"/>
    </row>
    <row r="311" spans="4:5">
      <c r="D311" s="5"/>
      <c r="E311" s="5"/>
    </row>
    <row r="312" spans="4:5">
      <c r="D312" s="5"/>
      <c r="E312" s="5"/>
    </row>
    <row r="313" spans="4:5">
      <c r="D313" s="5"/>
      <c r="E313" s="5"/>
    </row>
    <row r="314" spans="4:5">
      <c r="D314" s="5"/>
      <c r="E314" s="5"/>
    </row>
    <row r="315" spans="4:5">
      <c r="D315" s="5"/>
      <c r="E315" s="5"/>
    </row>
    <row r="316" spans="4:5">
      <c r="D316" s="5"/>
      <c r="E316" s="5"/>
    </row>
    <row r="317" spans="4:5">
      <c r="D317" s="5"/>
      <c r="E317" s="5"/>
    </row>
    <row r="318" spans="4:5">
      <c r="D318" s="5"/>
      <c r="E318" s="5"/>
    </row>
    <row r="319" spans="4:5">
      <c r="D319" s="5"/>
      <c r="E319" s="5"/>
    </row>
    <row r="320" spans="4:5">
      <c r="D320" s="5"/>
      <c r="E320" s="5"/>
    </row>
    <row r="321" spans="4:5">
      <c r="D321" s="5"/>
      <c r="E321" s="5"/>
    </row>
    <row r="322" spans="4:5">
      <c r="D322" s="5"/>
      <c r="E322" s="5"/>
    </row>
    <row r="323" spans="4:5">
      <c r="D323" s="5"/>
      <c r="E323" s="5"/>
    </row>
    <row r="324" spans="4:5">
      <c r="D324" s="5"/>
      <c r="E324" s="5"/>
    </row>
    <row r="325" spans="4:5">
      <c r="D325" s="5"/>
      <c r="E325" s="5"/>
    </row>
    <row r="326" spans="4:5">
      <c r="D326" s="5"/>
      <c r="E326" s="5"/>
    </row>
    <row r="327" spans="4:5">
      <c r="D327" s="5"/>
      <c r="E327" s="5"/>
    </row>
    <row r="328" spans="4:5">
      <c r="D328" s="5"/>
      <c r="E328" s="5"/>
    </row>
    <row r="329" spans="4:5">
      <c r="D329" s="5"/>
      <c r="E329" s="5"/>
    </row>
    <row r="330" spans="4:5">
      <c r="D330" s="5"/>
      <c r="E330" s="5"/>
    </row>
    <row r="331" spans="4:5">
      <c r="D331" s="5"/>
      <c r="E331" s="5"/>
    </row>
    <row r="332" spans="4:5">
      <c r="D332" s="5"/>
      <c r="E332" s="5"/>
    </row>
    <row r="333" spans="4:5">
      <c r="D333" s="5"/>
      <c r="E333" s="5"/>
    </row>
    <row r="334" spans="4:5">
      <c r="D334" s="5"/>
      <c r="E334" s="5"/>
    </row>
    <row r="335" spans="4:5">
      <c r="D335" s="5"/>
      <c r="E335" s="5"/>
    </row>
    <row r="336" spans="4:5">
      <c r="D336" s="5"/>
      <c r="E336" s="5"/>
    </row>
    <row r="337" spans="4:5">
      <c r="D337" s="5"/>
      <c r="E337" s="5"/>
    </row>
    <row r="338" spans="4:5">
      <c r="D338" s="5"/>
      <c r="E338" s="5"/>
    </row>
    <row r="339" spans="4:5">
      <c r="D339" s="5"/>
      <c r="E339" s="5"/>
    </row>
    <row r="340" spans="4:5">
      <c r="D340" s="5"/>
      <c r="E340" s="5"/>
    </row>
  </sheetData>
  <mergeCells count="5">
    <mergeCell ref="A8:E8"/>
    <mergeCell ref="A4:R4"/>
    <mergeCell ref="A5:R5"/>
    <mergeCell ref="A6:R6"/>
    <mergeCell ref="A7:R7"/>
  </mergeCells>
  <phoneticPr fontId="5" type="noConversion"/>
  <pageMargins left="0.75" right="0.75" top="1" bottom="1" header="0.5" footer="0.5"/>
  <pageSetup scale="52" orientation="landscape" r:id="rId1"/>
  <headerFooter alignWithMargins="0"/>
  <ignoredErrors>
    <ignoredError sqref="P15:P16" formulaRange="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indexed="17"/>
    <pageSetUpPr fitToPage="1"/>
  </sheetPr>
  <dimension ref="A1:Y339"/>
  <sheetViews>
    <sheetView zoomScaleNormal="100" zoomScaleSheetLayoutView="100" workbookViewId="0">
      <selection activeCell="A4" sqref="A4:R4"/>
    </sheetView>
  </sheetViews>
  <sheetFormatPr defaultRowHeight="12.75"/>
  <cols>
    <col min="1" max="1" width="6.28515625" style="72" bestFit="1" customWidth="1"/>
    <col min="2" max="2" width="41.5703125" style="72" bestFit="1" customWidth="1"/>
    <col min="3" max="3" width="6.85546875" style="227" bestFit="1" customWidth="1"/>
    <col min="4" max="4" width="13" style="72" bestFit="1" customWidth="1"/>
    <col min="5" max="5" width="13.42578125" style="72" customWidth="1"/>
    <col min="6" max="6" width="12.42578125" style="72" customWidth="1"/>
    <col min="7" max="7" width="14.140625" style="72" bestFit="1" customWidth="1"/>
    <col min="8" max="8" width="14.28515625" style="72" bestFit="1" customWidth="1"/>
    <col min="9" max="9" width="13.42578125" style="72" customWidth="1"/>
    <col min="10" max="11" width="13.140625" style="72" bestFit="1" customWidth="1"/>
    <col min="12" max="12" width="14.28515625" style="72" bestFit="1" customWidth="1"/>
    <col min="13" max="13" width="13.28515625" style="72" customWidth="1"/>
    <col min="14" max="15" width="15.140625" style="72" bestFit="1" customWidth="1"/>
    <col min="16" max="16" width="14.5703125" style="72" bestFit="1" customWidth="1"/>
    <col min="17" max="17" width="14" style="72" bestFit="1" customWidth="1"/>
    <col min="18" max="18" width="11.42578125" style="72" bestFit="1" customWidth="1"/>
    <col min="19" max="19" width="9.7109375" style="72" bestFit="1" customWidth="1"/>
    <col min="20" max="16384" width="9.140625" style="72"/>
  </cols>
  <sheetData>
    <row r="1" spans="1:19">
      <c r="Q1" t="str">
        <f>A!D1</f>
        <v>Docket No. RP16-299-000</v>
      </c>
    </row>
    <row r="2" spans="1:19">
      <c r="Q2" t="s">
        <v>745</v>
      </c>
    </row>
    <row r="3" spans="1:19">
      <c r="Q3" t="s">
        <v>212</v>
      </c>
    </row>
    <row r="4" spans="1:19">
      <c r="A4" s="945" t="s">
        <v>658</v>
      </c>
      <c r="B4" s="946"/>
      <c r="C4" s="946"/>
      <c r="D4" s="946"/>
      <c r="E4" s="946"/>
      <c r="F4" s="946"/>
      <c r="G4" s="946"/>
      <c r="H4" s="946"/>
      <c r="I4" s="946"/>
      <c r="J4" s="946"/>
      <c r="K4" s="946"/>
      <c r="L4" s="946"/>
      <c r="M4" s="946"/>
      <c r="N4" s="946"/>
      <c r="O4" s="946"/>
      <c r="P4" s="946"/>
      <c r="Q4" s="946"/>
      <c r="R4" s="946"/>
    </row>
    <row r="5" spans="1:19">
      <c r="A5" s="946" t="s">
        <v>740</v>
      </c>
      <c r="B5" s="946"/>
      <c r="C5" s="946"/>
      <c r="D5" s="946"/>
      <c r="E5" s="946"/>
      <c r="F5" s="946"/>
      <c r="G5" s="946"/>
      <c r="H5" s="946"/>
      <c r="I5" s="946"/>
      <c r="J5" s="946"/>
      <c r="K5" s="946"/>
      <c r="L5" s="946"/>
      <c r="M5" s="946"/>
      <c r="N5" s="946"/>
      <c r="O5" s="946"/>
      <c r="P5" s="946"/>
      <c r="Q5" s="946"/>
      <c r="R5" s="946"/>
    </row>
    <row r="6" spans="1:19">
      <c r="A6" s="950" t="s">
        <v>741</v>
      </c>
      <c r="B6" s="950"/>
      <c r="C6" s="950"/>
      <c r="D6" s="950"/>
      <c r="E6" s="950"/>
      <c r="F6" s="950"/>
      <c r="G6" s="950"/>
      <c r="H6" s="950"/>
      <c r="I6" s="950"/>
      <c r="J6" s="950"/>
      <c r="K6" s="950"/>
      <c r="L6" s="950"/>
      <c r="M6" s="950"/>
      <c r="N6" s="950"/>
      <c r="O6" s="950"/>
      <c r="P6" s="950"/>
      <c r="Q6" s="950"/>
      <c r="R6" s="950"/>
    </row>
    <row r="7" spans="1:19">
      <c r="A7" s="945" t="s">
        <v>765</v>
      </c>
      <c r="B7" s="945"/>
      <c r="C7" s="945"/>
      <c r="D7" s="945"/>
      <c r="E7" s="945"/>
      <c r="F7" s="945"/>
      <c r="G7" s="945"/>
      <c r="H7" s="945"/>
      <c r="I7" s="945"/>
      <c r="J7" s="945"/>
      <c r="K7" s="945"/>
      <c r="L7" s="945"/>
      <c r="M7" s="945"/>
      <c r="N7" s="945"/>
      <c r="O7" s="945"/>
      <c r="P7" s="945"/>
      <c r="Q7" s="945"/>
      <c r="R7" s="945"/>
    </row>
    <row r="8" spans="1:19" s="132" customFormat="1">
      <c r="C8" s="227"/>
    </row>
    <row r="9" spans="1:19">
      <c r="A9" s="132" t="s">
        <v>352</v>
      </c>
      <c r="B9" s="132"/>
      <c r="C9" s="227" t="s">
        <v>394</v>
      </c>
      <c r="D9" s="132"/>
      <c r="E9" s="132"/>
      <c r="F9" s="132"/>
      <c r="G9" s="132"/>
      <c r="H9" s="132"/>
      <c r="I9" s="132"/>
      <c r="J9" s="132"/>
      <c r="K9" s="132"/>
      <c r="L9" s="132"/>
      <c r="M9" s="132"/>
      <c r="N9" s="132"/>
      <c r="O9" s="132"/>
      <c r="P9" s="132"/>
      <c r="Q9" s="132"/>
      <c r="R9" s="132" t="s">
        <v>326</v>
      </c>
    </row>
    <row r="10" spans="1:19">
      <c r="A10" s="149" t="s">
        <v>353</v>
      </c>
      <c r="B10" s="149" t="s">
        <v>354</v>
      </c>
      <c r="C10" s="238" t="s">
        <v>353</v>
      </c>
      <c r="D10" s="149" t="str">
        <f>'H-1 (1)(c) Dth'!D11</f>
        <v>January</v>
      </c>
      <c r="E10" s="149" t="str">
        <f>'H-1 (1)(c) Dth'!E11</f>
        <v>February</v>
      </c>
      <c r="F10" s="149" t="str">
        <f>'H-1 (1)(c) Dth'!F11</f>
        <v>March</v>
      </c>
      <c r="G10" s="149" t="str">
        <f>'H-1 (1)(c) Dth'!G11</f>
        <v>April</v>
      </c>
      <c r="H10" s="149" t="str">
        <f>'H-1 (1)(c) Dth'!H11</f>
        <v>May</v>
      </c>
      <c r="I10" s="149" t="str">
        <f>'H-1 (1)(c) Dth'!I11</f>
        <v>June</v>
      </c>
      <c r="J10" s="149" t="str">
        <f>'H-1 (1)(c) Dth'!J11</f>
        <v>July</v>
      </c>
      <c r="K10" s="149" t="str">
        <f>'H-1 (1)(c) Dth'!K11</f>
        <v>August</v>
      </c>
      <c r="L10" s="149" t="str">
        <f>'H-1 (1)(c) Dth'!L11</f>
        <v>September</v>
      </c>
      <c r="M10" s="149" t="str">
        <f>'H-1 (1)(c) Dth'!M11</f>
        <v>October</v>
      </c>
      <c r="N10" s="149" t="str">
        <f>'H-1 (1)(c) Dth'!N11</f>
        <v>November</v>
      </c>
      <c r="O10" s="149" t="str">
        <f>'H-1 (1)(c) Dth'!O11</f>
        <v>December</v>
      </c>
      <c r="P10" s="149" t="s">
        <v>38</v>
      </c>
      <c r="Q10" s="149" t="s">
        <v>401</v>
      </c>
      <c r="R10" s="149" t="s">
        <v>402</v>
      </c>
    </row>
    <row r="11" spans="1:19">
      <c r="B11" s="132" t="s">
        <v>361</v>
      </c>
      <c r="C11" s="227" t="s">
        <v>362</v>
      </c>
      <c r="D11" s="132" t="s">
        <v>366</v>
      </c>
      <c r="E11" s="132" t="s">
        <v>363</v>
      </c>
      <c r="F11" s="132" t="s">
        <v>364</v>
      </c>
      <c r="G11" s="132" t="s">
        <v>379</v>
      </c>
      <c r="H11" s="132" t="s">
        <v>380</v>
      </c>
      <c r="I11" s="132" t="s">
        <v>403</v>
      </c>
      <c r="J11" s="132" t="s">
        <v>404</v>
      </c>
      <c r="K11" s="132" t="s">
        <v>351</v>
      </c>
      <c r="L11" s="132" t="s">
        <v>250</v>
      </c>
      <c r="M11" s="132" t="s">
        <v>254</v>
      </c>
      <c r="N11" s="132" t="s">
        <v>313</v>
      </c>
      <c r="O11" s="132" t="s">
        <v>314</v>
      </c>
      <c r="P11" s="132" t="s">
        <v>315</v>
      </c>
      <c r="Q11" s="132" t="s">
        <v>316</v>
      </c>
      <c r="R11" s="132" t="s">
        <v>317</v>
      </c>
    </row>
    <row r="12" spans="1:19">
      <c r="D12" s="132" t="s">
        <v>365</v>
      </c>
      <c r="E12" s="132" t="s">
        <v>365</v>
      </c>
      <c r="F12" s="132" t="s">
        <v>365</v>
      </c>
      <c r="G12" s="132" t="s">
        <v>365</v>
      </c>
      <c r="H12" s="132" t="s">
        <v>365</v>
      </c>
      <c r="I12" s="132" t="s">
        <v>365</v>
      </c>
      <c r="J12" s="132" t="s">
        <v>365</v>
      </c>
      <c r="K12" s="132" t="s">
        <v>365</v>
      </c>
      <c r="L12" s="132" t="s">
        <v>365</v>
      </c>
      <c r="M12" s="132" t="s">
        <v>365</v>
      </c>
      <c r="N12" s="132" t="s">
        <v>365</v>
      </c>
      <c r="O12" s="132" t="s">
        <v>365</v>
      </c>
      <c r="P12" s="132" t="s">
        <v>365</v>
      </c>
      <c r="Q12" s="132" t="s">
        <v>365</v>
      </c>
      <c r="R12" s="132" t="s">
        <v>365</v>
      </c>
    </row>
    <row r="13" spans="1:19">
      <c r="A13" s="524">
        <v>1</v>
      </c>
      <c r="B13" s="517" t="s">
        <v>171</v>
      </c>
      <c r="C13" s="518"/>
      <c r="D13" s="524"/>
      <c r="E13" s="524"/>
      <c r="F13" s="524"/>
      <c r="G13" s="524"/>
      <c r="H13" s="524"/>
      <c r="I13" s="524"/>
      <c r="J13" s="524"/>
      <c r="K13" s="524"/>
      <c r="L13" s="524"/>
      <c r="M13" s="524"/>
      <c r="N13" s="524"/>
      <c r="O13" s="524"/>
      <c r="P13" s="132"/>
      <c r="Q13" s="476"/>
      <c r="R13" s="240"/>
    </row>
    <row r="14" spans="1:19">
      <c r="A14" s="525">
        <f>A13+1</f>
        <v>2</v>
      </c>
      <c r="B14" s="520" t="s">
        <v>727</v>
      </c>
      <c r="C14" s="521">
        <v>806</v>
      </c>
      <c r="D14" s="527">
        <v>258392.96000000005</v>
      </c>
      <c r="E14" s="527">
        <v>261517.44999999995</v>
      </c>
      <c r="F14" s="527">
        <v>-343577.94</v>
      </c>
      <c r="G14" s="527">
        <v>-97382.66</v>
      </c>
      <c r="H14" s="527">
        <v>13079.640000000043</v>
      </c>
      <c r="I14" s="527">
        <v>-27015.059999999994</v>
      </c>
      <c r="J14" s="527">
        <v>24127.419999999984</v>
      </c>
      <c r="K14" s="527">
        <v>-161206.24</v>
      </c>
      <c r="L14" s="527">
        <v>45420.06</v>
      </c>
      <c r="M14" s="527">
        <v>165971.84</v>
      </c>
      <c r="N14" s="527">
        <v>-81133.489999999976</v>
      </c>
      <c r="O14" s="527">
        <v>426183.93</v>
      </c>
      <c r="P14" s="476">
        <f>ROUND(SUM(D14:O14),2)</f>
        <v>484377.91</v>
      </c>
      <c r="Q14" s="480">
        <f>-P14</f>
        <v>-484377.91</v>
      </c>
      <c r="R14" s="476">
        <f>+P14+Q14</f>
        <v>0</v>
      </c>
      <c r="S14" s="477"/>
    </row>
    <row r="15" spans="1:19">
      <c r="A15" s="525">
        <f t="shared" ref="A15:A19" si="0">+A14+1</f>
        <v>3</v>
      </c>
      <c r="B15" s="520" t="s">
        <v>742</v>
      </c>
      <c r="C15" s="526">
        <v>808.1</v>
      </c>
      <c r="D15" s="527">
        <v>355572.61</v>
      </c>
      <c r="E15" s="527">
        <v>351393.21</v>
      </c>
      <c r="F15" s="528">
        <v>350178.25</v>
      </c>
      <c r="G15" s="527">
        <v>180801.91</v>
      </c>
      <c r="H15" s="527">
        <v>295761.36</v>
      </c>
      <c r="I15" s="527">
        <v>255725.57</v>
      </c>
      <c r="J15" s="527">
        <v>130042.36</v>
      </c>
      <c r="K15" s="527">
        <v>230877.81</v>
      </c>
      <c r="L15" s="527">
        <v>268601</v>
      </c>
      <c r="M15" s="527">
        <v>157266.5</v>
      </c>
      <c r="N15" s="527">
        <v>195146.91999999995</v>
      </c>
      <c r="O15" s="527">
        <v>432919.37</v>
      </c>
      <c r="P15" s="476">
        <f>ROUND(SUM(D15:O15),2)</f>
        <v>3204286.87</v>
      </c>
      <c r="Q15" s="480">
        <f>-P15</f>
        <v>-3204286.87</v>
      </c>
      <c r="R15" s="476">
        <f>+P15+Q15</f>
        <v>0</v>
      </c>
      <c r="S15" s="477"/>
    </row>
    <row r="16" spans="1:19">
      <c r="A16" s="525">
        <f t="shared" si="0"/>
        <v>4</v>
      </c>
      <c r="B16" s="520" t="s">
        <v>743</v>
      </c>
      <c r="C16" s="526">
        <v>808.2</v>
      </c>
      <c r="D16" s="527">
        <v>-350232.6</v>
      </c>
      <c r="E16" s="527">
        <v>-364519.6999999999</v>
      </c>
      <c r="F16" s="527">
        <v>-323322.21999999997</v>
      </c>
      <c r="G16" s="527">
        <v>-218223.7</v>
      </c>
      <c r="H16" s="527">
        <v>-290830.32</v>
      </c>
      <c r="I16" s="527">
        <v>-254972.79999999999</v>
      </c>
      <c r="J16" s="527">
        <v>-213741.77000000005</v>
      </c>
      <c r="K16" s="527">
        <v>-168209.40999999995</v>
      </c>
      <c r="L16" s="527">
        <v>-256654</v>
      </c>
      <c r="M16" s="527">
        <v>-177710.64</v>
      </c>
      <c r="N16" s="527">
        <v>-143684.98000000001</v>
      </c>
      <c r="O16" s="527">
        <v>-426183.93</v>
      </c>
      <c r="P16" s="476">
        <f>ROUND(SUM(D16:O16),2)</f>
        <v>-3188286.07</v>
      </c>
      <c r="Q16" s="480">
        <f>-P16</f>
        <v>3188286.07</v>
      </c>
      <c r="R16" s="476">
        <f>+P16+Q16</f>
        <v>0</v>
      </c>
      <c r="S16" s="477"/>
    </row>
    <row r="17" spans="1:25">
      <c r="A17" s="525">
        <f t="shared" si="0"/>
        <v>5</v>
      </c>
      <c r="B17" s="520" t="s">
        <v>171</v>
      </c>
      <c r="C17" s="521">
        <v>813</v>
      </c>
      <c r="D17" s="527">
        <v>90428.59</v>
      </c>
      <c r="E17" s="527">
        <v>185323.31</v>
      </c>
      <c r="F17" s="527">
        <v>-133335.09</v>
      </c>
      <c r="G17" s="527">
        <v>-368.2</v>
      </c>
      <c r="H17" s="527">
        <v>-1611.12</v>
      </c>
      <c r="I17" s="527">
        <v>-83029.98</v>
      </c>
      <c r="J17" s="527">
        <v>-67193.100000000006</v>
      </c>
      <c r="K17" s="527">
        <v>-187578.08</v>
      </c>
      <c r="L17" s="527">
        <v>106.28</v>
      </c>
      <c r="M17" s="527">
        <v>46906.82</v>
      </c>
      <c r="N17" s="527">
        <v>-40602.17</v>
      </c>
      <c r="O17" s="527">
        <v>318872.71999999997</v>
      </c>
      <c r="P17" s="476">
        <f>ROUND(SUM(D17:O17),2)</f>
        <v>127919.98</v>
      </c>
      <c r="Q17" s="480">
        <f>-P17</f>
        <v>-127919.98</v>
      </c>
      <c r="R17" s="476">
        <f>+P17+Q17</f>
        <v>0</v>
      </c>
      <c r="S17" s="477"/>
      <c r="T17" s="477"/>
    </row>
    <row r="18" spans="1:25">
      <c r="A18" s="525">
        <f t="shared" si="0"/>
        <v>6</v>
      </c>
      <c r="B18" s="513" t="s">
        <v>153</v>
      </c>
      <c r="C18" s="524">
        <v>854</v>
      </c>
      <c r="D18" s="527">
        <v>87911.51</v>
      </c>
      <c r="E18" s="527">
        <v>41377.17</v>
      </c>
      <c r="F18" s="527">
        <v>30673.33</v>
      </c>
      <c r="G18" s="527">
        <v>7954.97</v>
      </c>
      <c r="H18" s="527">
        <v>6781.32</v>
      </c>
      <c r="I18" s="527">
        <v>28452.73</v>
      </c>
      <c r="J18" s="527">
        <v>17331.259999999998</v>
      </c>
      <c r="K18" s="527">
        <v>18741.12</v>
      </c>
      <c r="L18" s="527">
        <v>7249.25</v>
      </c>
      <c r="M18" s="527">
        <v>2469.59</v>
      </c>
      <c r="N18" s="527">
        <v>17521.53</v>
      </c>
      <c r="O18" s="527">
        <v>104384.77</v>
      </c>
      <c r="P18" s="476">
        <f>ROUND(SUM(D18:O18),2)</f>
        <v>370848.55</v>
      </c>
      <c r="Q18" s="480">
        <f>-P18</f>
        <v>-370848.55</v>
      </c>
      <c r="R18" s="476">
        <f>+P18+Q18</f>
        <v>0</v>
      </c>
      <c r="S18" s="477"/>
    </row>
    <row r="19" spans="1:25" ht="13.5" thickBot="1">
      <c r="A19" s="525">
        <f t="shared" si="0"/>
        <v>7</v>
      </c>
      <c r="B19" s="517" t="s">
        <v>356</v>
      </c>
      <c r="D19" s="478">
        <f t="shared" ref="D19:R19" si="1">SUM(D14:D18)</f>
        <v>442073.07000000007</v>
      </c>
      <c r="E19" s="478">
        <f t="shared" si="1"/>
        <v>475091.44</v>
      </c>
      <c r="F19" s="478">
        <f t="shared" si="1"/>
        <v>-419383.67</v>
      </c>
      <c r="G19" s="478">
        <f t="shared" si="1"/>
        <v>-127217.68000000002</v>
      </c>
      <c r="H19" s="478">
        <f t="shared" si="1"/>
        <v>23180.879999999994</v>
      </c>
      <c r="I19" s="478">
        <f t="shared" si="1"/>
        <v>-80839.539999999979</v>
      </c>
      <c r="J19" s="478">
        <f t="shared" si="1"/>
        <v>-109433.83000000009</v>
      </c>
      <c r="K19" s="478">
        <f t="shared" si="1"/>
        <v>-267374.79999999993</v>
      </c>
      <c r="L19" s="478">
        <f t="shared" si="1"/>
        <v>64722.59</v>
      </c>
      <c r="M19" s="478">
        <f t="shared" si="1"/>
        <v>194904.10999999996</v>
      </c>
      <c r="N19" s="478">
        <f t="shared" si="1"/>
        <v>-52752.190000000031</v>
      </c>
      <c r="O19" s="478">
        <f t="shared" si="1"/>
        <v>856176.8600000001</v>
      </c>
      <c r="P19" s="478">
        <f t="shared" si="1"/>
        <v>999147.24000000046</v>
      </c>
      <c r="Q19" s="481">
        <f t="shared" si="1"/>
        <v>-999147.24000000046</v>
      </c>
      <c r="R19" s="478">
        <f t="shared" si="1"/>
        <v>0</v>
      </c>
      <c r="S19" s="242"/>
      <c r="T19" s="242"/>
      <c r="U19" s="242"/>
      <c r="V19" s="242"/>
      <c r="W19" s="242"/>
      <c r="X19" s="242"/>
      <c r="Y19" s="242"/>
    </row>
    <row r="20" spans="1:25" ht="14.25" customHeight="1" thickTop="1">
      <c r="B20" s="130"/>
      <c r="D20" s="476"/>
      <c r="E20" s="476"/>
      <c r="F20" s="476"/>
      <c r="G20" s="476"/>
      <c r="H20" s="476"/>
      <c r="I20" s="476"/>
      <c r="J20" s="476"/>
      <c r="K20" s="476"/>
      <c r="L20" s="476"/>
      <c r="M20" s="476"/>
      <c r="N20" s="476"/>
      <c r="O20" s="476"/>
      <c r="P20" s="476"/>
      <c r="Q20" s="476"/>
      <c r="R20" s="476"/>
    </row>
    <row r="21" spans="1:25" ht="14.25" customHeight="1">
      <c r="B21" s="130"/>
      <c r="D21" s="476"/>
      <c r="E21" s="476"/>
      <c r="F21" s="476"/>
      <c r="G21" s="476"/>
      <c r="H21" s="476"/>
      <c r="I21" s="476"/>
      <c r="J21" s="476"/>
      <c r="K21" s="476"/>
      <c r="L21" s="476"/>
      <c r="M21" s="476"/>
      <c r="N21" s="476"/>
      <c r="O21" s="476"/>
      <c r="P21" s="476"/>
      <c r="Q21" s="476"/>
      <c r="R21" s="476"/>
    </row>
    <row r="22" spans="1:25">
      <c r="D22" s="479"/>
      <c r="E22" s="479"/>
      <c r="F22" s="479"/>
      <c r="G22" s="479"/>
      <c r="H22" s="479"/>
      <c r="I22" s="479"/>
      <c r="J22" s="479"/>
      <c r="K22" s="479"/>
      <c r="L22" s="479"/>
      <c r="M22" s="479"/>
      <c r="N22" s="479"/>
      <c r="O22" s="479"/>
      <c r="P22" s="479"/>
      <c r="Q22" s="479"/>
      <c r="R22" s="479"/>
    </row>
    <row r="23" spans="1:25">
      <c r="B23" s="19"/>
      <c r="D23" s="106"/>
      <c r="E23" s="106"/>
      <c r="F23" s="106"/>
      <c r="G23" s="106"/>
      <c r="H23" s="106"/>
      <c r="I23" s="106"/>
      <c r="J23" s="106"/>
      <c r="K23" s="106"/>
      <c r="L23" s="106"/>
      <c r="M23" s="106"/>
      <c r="N23" s="106"/>
      <c r="O23" s="106"/>
      <c r="P23" s="106"/>
      <c r="Q23" s="106"/>
      <c r="R23" s="106"/>
    </row>
    <row r="24" spans="1:25">
      <c r="D24" s="106"/>
      <c r="E24" s="106"/>
      <c r="F24" s="106"/>
      <c r="G24" s="106"/>
      <c r="H24" s="106"/>
      <c r="I24" s="106"/>
      <c r="J24" s="106"/>
      <c r="K24" s="106"/>
      <c r="L24" s="106"/>
      <c r="M24" s="106"/>
      <c r="N24" s="106"/>
      <c r="O24" s="106"/>
      <c r="P24" s="106"/>
      <c r="Q24" s="106"/>
      <c r="R24" s="106"/>
    </row>
    <row r="26" spans="1:25">
      <c r="B26"/>
    </row>
    <row r="45" spans="4:5">
      <c r="D45" s="129"/>
      <c r="E45" s="129"/>
    </row>
    <row r="46" spans="4:5">
      <c r="D46" s="129"/>
      <c r="E46" s="129"/>
    </row>
    <row r="47" spans="4:5">
      <c r="D47" s="129"/>
      <c r="E47" s="129"/>
    </row>
    <row r="48" spans="4:5">
      <c r="D48" s="129"/>
      <c r="E48" s="129"/>
    </row>
    <row r="49" spans="4:5">
      <c r="D49" s="129"/>
      <c r="E49" s="129"/>
    </row>
    <row r="50" spans="4:5">
      <c r="D50" s="129"/>
      <c r="E50" s="129"/>
    </row>
    <row r="51" spans="4:5">
      <c r="D51" s="129"/>
      <c r="E51" s="129"/>
    </row>
    <row r="52" spans="4:5">
      <c r="D52" s="129"/>
      <c r="E52" s="129"/>
    </row>
    <row r="53" spans="4:5">
      <c r="D53" s="129"/>
      <c r="E53" s="129"/>
    </row>
    <row r="54" spans="4:5">
      <c r="D54" s="129"/>
      <c r="E54" s="129"/>
    </row>
    <row r="55" spans="4:5">
      <c r="D55" s="129"/>
      <c r="E55" s="129"/>
    </row>
    <row r="56" spans="4:5">
      <c r="D56" s="129"/>
      <c r="E56" s="129"/>
    </row>
    <row r="57" spans="4:5">
      <c r="D57" s="129"/>
      <c r="E57" s="129"/>
    </row>
    <row r="58" spans="4:5">
      <c r="D58" s="129"/>
      <c r="E58" s="129"/>
    </row>
    <row r="59" spans="4:5">
      <c r="D59" s="129"/>
      <c r="E59" s="129"/>
    </row>
    <row r="60" spans="4:5">
      <c r="D60" s="129"/>
      <c r="E60" s="129"/>
    </row>
    <row r="61" spans="4:5">
      <c r="D61" s="129"/>
      <c r="E61" s="129"/>
    </row>
    <row r="62" spans="4:5">
      <c r="D62" s="129"/>
      <c r="E62" s="129"/>
    </row>
    <row r="63" spans="4:5">
      <c r="D63" s="129"/>
      <c r="E63" s="129"/>
    </row>
    <row r="64" spans="4:5">
      <c r="D64" s="129"/>
      <c r="E64" s="129"/>
    </row>
    <row r="65" spans="4:5">
      <c r="D65" s="129"/>
      <c r="E65" s="129"/>
    </row>
    <row r="66" spans="4:5">
      <c r="D66" s="129"/>
      <c r="E66" s="129"/>
    </row>
    <row r="67" spans="4:5">
      <c r="D67" s="129"/>
      <c r="E67" s="129"/>
    </row>
    <row r="68" spans="4:5">
      <c r="D68" s="129"/>
      <c r="E68" s="129"/>
    </row>
    <row r="69" spans="4:5">
      <c r="D69" s="129"/>
      <c r="E69" s="129"/>
    </row>
    <row r="70" spans="4:5">
      <c r="D70" s="129"/>
      <c r="E70" s="129"/>
    </row>
    <row r="71" spans="4:5">
      <c r="D71" s="129"/>
      <c r="E71" s="129"/>
    </row>
    <row r="72" spans="4:5">
      <c r="D72" s="129"/>
      <c r="E72" s="129"/>
    </row>
    <row r="73" spans="4:5">
      <c r="D73" s="129"/>
      <c r="E73" s="129"/>
    </row>
    <row r="74" spans="4:5">
      <c r="D74" s="129"/>
      <c r="E74" s="129"/>
    </row>
    <row r="75" spans="4:5">
      <c r="D75" s="129"/>
      <c r="E75" s="129"/>
    </row>
    <row r="76" spans="4:5">
      <c r="D76" s="129"/>
      <c r="E76" s="129"/>
    </row>
    <row r="77" spans="4:5">
      <c r="D77" s="129"/>
      <c r="E77" s="129"/>
    </row>
    <row r="78" spans="4:5">
      <c r="D78" s="129"/>
      <c r="E78" s="129"/>
    </row>
    <row r="79" spans="4:5">
      <c r="D79" s="129"/>
      <c r="E79" s="129"/>
    </row>
    <row r="80" spans="4:5">
      <c r="D80" s="129"/>
      <c r="E80" s="129"/>
    </row>
    <row r="81" spans="4:5">
      <c r="D81" s="129"/>
      <c r="E81" s="129"/>
    </row>
    <row r="82" spans="4:5">
      <c r="D82" s="129"/>
      <c r="E82" s="129"/>
    </row>
    <row r="83" spans="4:5">
      <c r="D83" s="129"/>
      <c r="E83" s="129"/>
    </row>
    <row r="84" spans="4:5">
      <c r="D84" s="129"/>
      <c r="E84" s="129"/>
    </row>
    <row r="85" spans="4:5">
      <c r="D85" s="129"/>
      <c r="E85" s="129"/>
    </row>
    <row r="86" spans="4:5">
      <c r="D86" s="129"/>
      <c r="E86" s="129"/>
    </row>
    <row r="87" spans="4:5">
      <c r="D87" s="129"/>
      <c r="E87" s="129"/>
    </row>
    <row r="88" spans="4:5">
      <c r="D88" s="129"/>
      <c r="E88" s="129"/>
    </row>
    <row r="89" spans="4:5">
      <c r="D89" s="129"/>
      <c r="E89" s="129"/>
    </row>
    <row r="90" spans="4:5">
      <c r="D90" s="129"/>
      <c r="E90" s="129"/>
    </row>
    <row r="91" spans="4:5">
      <c r="D91" s="129"/>
      <c r="E91" s="129"/>
    </row>
    <row r="92" spans="4:5">
      <c r="D92" s="129"/>
      <c r="E92" s="129"/>
    </row>
    <row r="93" spans="4:5">
      <c r="D93" s="129"/>
      <c r="E93" s="129"/>
    </row>
    <row r="94" spans="4:5">
      <c r="D94" s="129"/>
      <c r="E94" s="129"/>
    </row>
    <row r="95" spans="4:5">
      <c r="D95" s="129"/>
      <c r="E95" s="129"/>
    </row>
    <row r="96" spans="4:5">
      <c r="D96" s="129"/>
      <c r="E96" s="129"/>
    </row>
    <row r="97" spans="4:5">
      <c r="D97" s="129"/>
      <c r="E97" s="129"/>
    </row>
    <row r="98" spans="4:5">
      <c r="D98" s="129"/>
      <c r="E98" s="129"/>
    </row>
    <row r="99" spans="4:5">
      <c r="D99" s="129"/>
      <c r="E99" s="129"/>
    </row>
    <row r="100" spans="4:5">
      <c r="D100" s="129"/>
      <c r="E100" s="129"/>
    </row>
    <row r="101" spans="4:5">
      <c r="D101" s="129"/>
      <c r="E101" s="129"/>
    </row>
    <row r="102" spans="4:5">
      <c r="D102" s="129"/>
      <c r="E102" s="129"/>
    </row>
    <row r="103" spans="4:5">
      <c r="D103" s="129"/>
      <c r="E103" s="129"/>
    </row>
    <row r="104" spans="4:5">
      <c r="D104" s="129"/>
      <c r="E104" s="129"/>
    </row>
    <row r="105" spans="4:5">
      <c r="D105" s="129"/>
      <c r="E105" s="129"/>
    </row>
    <row r="106" spans="4:5">
      <c r="D106" s="129"/>
      <c r="E106" s="129"/>
    </row>
    <row r="107" spans="4:5">
      <c r="D107" s="129"/>
      <c r="E107" s="129"/>
    </row>
    <row r="108" spans="4:5">
      <c r="D108" s="129"/>
      <c r="E108" s="129"/>
    </row>
    <row r="109" spans="4:5">
      <c r="D109" s="129"/>
      <c r="E109" s="129"/>
    </row>
    <row r="110" spans="4:5">
      <c r="D110" s="129"/>
      <c r="E110" s="129"/>
    </row>
    <row r="111" spans="4:5">
      <c r="D111" s="129"/>
      <c r="E111" s="129"/>
    </row>
    <row r="112" spans="4:5">
      <c r="D112" s="129"/>
      <c r="E112" s="129"/>
    </row>
    <row r="113" spans="4:5">
      <c r="D113" s="129"/>
      <c r="E113" s="129"/>
    </row>
    <row r="114" spans="4:5">
      <c r="D114" s="129"/>
      <c r="E114" s="129"/>
    </row>
    <row r="115" spans="4:5">
      <c r="D115" s="129"/>
      <c r="E115" s="129"/>
    </row>
    <row r="116" spans="4:5">
      <c r="D116" s="129"/>
      <c r="E116" s="129"/>
    </row>
    <row r="117" spans="4:5">
      <c r="D117" s="129"/>
      <c r="E117" s="129"/>
    </row>
    <row r="118" spans="4:5">
      <c r="D118" s="129"/>
      <c r="E118" s="129"/>
    </row>
    <row r="119" spans="4:5">
      <c r="D119" s="129"/>
      <c r="E119" s="129"/>
    </row>
    <row r="120" spans="4:5">
      <c r="D120" s="129"/>
      <c r="E120" s="129"/>
    </row>
    <row r="121" spans="4:5">
      <c r="D121" s="129"/>
      <c r="E121" s="129"/>
    </row>
    <row r="122" spans="4:5">
      <c r="D122" s="129"/>
      <c r="E122" s="129"/>
    </row>
    <row r="123" spans="4:5">
      <c r="D123" s="129"/>
      <c r="E123" s="129"/>
    </row>
    <row r="124" spans="4:5">
      <c r="D124" s="129"/>
      <c r="E124" s="129"/>
    </row>
    <row r="125" spans="4:5">
      <c r="D125" s="129"/>
      <c r="E125" s="129"/>
    </row>
    <row r="126" spans="4:5">
      <c r="D126" s="129"/>
      <c r="E126" s="129"/>
    </row>
    <row r="127" spans="4:5">
      <c r="D127" s="129"/>
      <c r="E127" s="129"/>
    </row>
    <row r="128" spans="4:5">
      <c r="D128" s="129"/>
      <c r="E128" s="129"/>
    </row>
    <row r="129" spans="4:5">
      <c r="D129" s="129"/>
      <c r="E129" s="129"/>
    </row>
    <row r="130" spans="4:5">
      <c r="D130" s="129"/>
      <c r="E130" s="129"/>
    </row>
    <row r="131" spans="4:5">
      <c r="D131" s="129"/>
      <c r="E131" s="129"/>
    </row>
    <row r="132" spans="4:5">
      <c r="D132" s="129"/>
      <c r="E132" s="129"/>
    </row>
    <row r="133" spans="4:5">
      <c r="D133" s="129"/>
      <c r="E133" s="129"/>
    </row>
    <row r="134" spans="4:5">
      <c r="D134" s="129"/>
      <c r="E134" s="129"/>
    </row>
    <row r="135" spans="4:5">
      <c r="D135" s="129"/>
      <c r="E135" s="129"/>
    </row>
    <row r="136" spans="4:5">
      <c r="D136" s="129"/>
      <c r="E136" s="129"/>
    </row>
    <row r="137" spans="4:5">
      <c r="D137" s="129"/>
      <c r="E137" s="129"/>
    </row>
    <row r="138" spans="4:5">
      <c r="D138" s="129"/>
      <c r="E138" s="129"/>
    </row>
    <row r="139" spans="4:5">
      <c r="D139" s="129"/>
      <c r="E139" s="129"/>
    </row>
    <row r="140" spans="4:5">
      <c r="D140" s="129"/>
      <c r="E140" s="129"/>
    </row>
    <row r="141" spans="4:5">
      <c r="D141" s="129"/>
      <c r="E141" s="129"/>
    </row>
    <row r="142" spans="4:5">
      <c r="D142" s="129"/>
      <c r="E142" s="129"/>
    </row>
    <row r="143" spans="4:5">
      <c r="D143" s="129"/>
      <c r="E143" s="129"/>
    </row>
    <row r="144" spans="4:5">
      <c r="D144" s="129"/>
      <c r="E144" s="129"/>
    </row>
    <row r="145" spans="4:5">
      <c r="D145" s="129"/>
      <c r="E145" s="129"/>
    </row>
    <row r="146" spans="4:5">
      <c r="D146" s="129"/>
      <c r="E146" s="129"/>
    </row>
    <row r="147" spans="4:5">
      <c r="D147" s="129"/>
      <c r="E147" s="129"/>
    </row>
    <row r="148" spans="4:5">
      <c r="D148" s="129"/>
      <c r="E148" s="129"/>
    </row>
    <row r="149" spans="4:5">
      <c r="D149" s="129"/>
      <c r="E149" s="129"/>
    </row>
    <row r="150" spans="4:5">
      <c r="D150" s="129"/>
      <c r="E150" s="129"/>
    </row>
    <row r="151" spans="4:5">
      <c r="D151" s="129"/>
      <c r="E151" s="129"/>
    </row>
    <row r="152" spans="4:5">
      <c r="D152" s="129"/>
      <c r="E152" s="129"/>
    </row>
    <row r="153" spans="4:5">
      <c r="D153" s="129"/>
      <c r="E153" s="129"/>
    </row>
    <row r="154" spans="4:5">
      <c r="D154" s="129"/>
      <c r="E154" s="129"/>
    </row>
    <row r="155" spans="4:5">
      <c r="D155" s="129"/>
      <c r="E155" s="129"/>
    </row>
    <row r="156" spans="4:5">
      <c r="D156" s="129"/>
      <c r="E156" s="129"/>
    </row>
    <row r="157" spans="4:5">
      <c r="D157" s="129"/>
      <c r="E157" s="129"/>
    </row>
    <row r="158" spans="4:5">
      <c r="D158" s="129"/>
      <c r="E158" s="129"/>
    </row>
    <row r="159" spans="4:5">
      <c r="D159" s="129"/>
      <c r="E159" s="129"/>
    </row>
    <row r="160" spans="4:5">
      <c r="D160" s="129"/>
      <c r="E160" s="129"/>
    </row>
    <row r="161" spans="4:5">
      <c r="D161" s="129"/>
      <c r="E161" s="129"/>
    </row>
    <row r="162" spans="4:5">
      <c r="D162" s="129"/>
      <c r="E162" s="129"/>
    </row>
    <row r="163" spans="4:5">
      <c r="D163" s="129"/>
      <c r="E163" s="129"/>
    </row>
    <row r="164" spans="4:5">
      <c r="D164" s="129"/>
      <c r="E164" s="129"/>
    </row>
    <row r="165" spans="4:5">
      <c r="D165" s="129"/>
      <c r="E165" s="129"/>
    </row>
    <row r="166" spans="4:5">
      <c r="D166" s="129"/>
      <c r="E166" s="129"/>
    </row>
    <row r="167" spans="4:5">
      <c r="D167" s="129"/>
      <c r="E167" s="129"/>
    </row>
    <row r="168" spans="4:5">
      <c r="D168" s="129"/>
      <c r="E168" s="129"/>
    </row>
    <row r="169" spans="4:5">
      <c r="D169" s="129"/>
      <c r="E169" s="129"/>
    </row>
    <row r="170" spans="4:5">
      <c r="D170" s="129"/>
      <c r="E170" s="129"/>
    </row>
    <row r="171" spans="4:5">
      <c r="D171" s="129"/>
      <c r="E171" s="129"/>
    </row>
    <row r="172" spans="4:5">
      <c r="D172" s="129"/>
      <c r="E172" s="129"/>
    </row>
    <row r="173" spans="4:5">
      <c r="D173" s="129"/>
      <c r="E173" s="129"/>
    </row>
    <row r="174" spans="4:5">
      <c r="D174" s="129"/>
      <c r="E174" s="129"/>
    </row>
    <row r="175" spans="4:5">
      <c r="D175" s="129"/>
      <c r="E175" s="129"/>
    </row>
    <row r="176" spans="4:5">
      <c r="D176" s="129"/>
      <c r="E176" s="129"/>
    </row>
    <row r="177" spans="4:5">
      <c r="D177" s="129"/>
      <c r="E177" s="129"/>
    </row>
    <row r="178" spans="4:5">
      <c r="D178" s="129"/>
      <c r="E178" s="129"/>
    </row>
    <row r="179" spans="4:5">
      <c r="D179" s="129"/>
      <c r="E179" s="129"/>
    </row>
    <row r="180" spans="4:5">
      <c r="D180" s="129"/>
      <c r="E180" s="129"/>
    </row>
    <row r="181" spans="4:5">
      <c r="D181" s="129"/>
      <c r="E181" s="129"/>
    </row>
    <row r="182" spans="4:5">
      <c r="D182" s="129"/>
      <c r="E182" s="129"/>
    </row>
    <row r="183" spans="4:5">
      <c r="D183" s="129"/>
      <c r="E183" s="129"/>
    </row>
    <row r="184" spans="4:5">
      <c r="D184" s="129"/>
      <c r="E184" s="129"/>
    </row>
    <row r="185" spans="4:5">
      <c r="D185" s="129"/>
      <c r="E185" s="129"/>
    </row>
    <row r="186" spans="4:5">
      <c r="D186" s="129"/>
      <c r="E186" s="129"/>
    </row>
    <row r="187" spans="4:5">
      <c r="D187" s="129"/>
      <c r="E187" s="129"/>
    </row>
    <row r="188" spans="4:5">
      <c r="D188" s="129"/>
      <c r="E188" s="129"/>
    </row>
    <row r="189" spans="4:5">
      <c r="D189" s="129"/>
      <c r="E189" s="129"/>
    </row>
    <row r="190" spans="4:5">
      <c r="D190" s="129"/>
      <c r="E190" s="129"/>
    </row>
    <row r="191" spans="4:5">
      <c r="D191" s="129"/>
      <c r="E191" s="129"/>
    </row>
    <row r="192" spans="4:5">
      <c r="D192" s="129"/>
      <c r="E192" s="129"/>
    </row>
    <row r="193" spans="4:5">
      <c r="D193" s="129"/>
      <c r="E193" s="129"/>
    </row>
    <row r="194" spans="4:5">
      <c r="D194" s="129"/>
      <c r="E194" s="129"/>
    </row>
    <row r="195" spans="4:5">
      <c r="D195" s="129"/>
      <c r="E195" s="129"/>
    </row>
    <row r="196" spans="4:5">
      <c r="D196" s="129"/>
      <c r="E196" s="129"/>
    </row>
    <row r="197" spans="4:5">
      <c r="D197" s="129"/>
      <c r="E197" s="129"/>
    </row>
    <row r="198" spans="4:5">
      <c r="D198" s="129"/>
      <c r="E198" s="129"/>
    </row>
    <row r="199" spans="4:5">
      <c r="D199" s="129"/>
      <c r="E199" s="129"/>
    </row>
    <row r="200" spans="4:5">
      <c r="D200" s="129"/>
      <c r="E200" s="129"/>
    </row>
    <row r="201" spans="4:5">
      <c r="D201" s="129"/>
      <c r="E201" s="129"/>
    </row>
    <row r="202" spans="4:5">
      <c r="D202" s="129"/>
      <c r="E202" s="129"/>
    </row>
    <row r="203" spans="4:5">
      <c r="D203" s="129"/>
      <c r="E203" s="129"/>
    </row>
    <row r="204" spans="4:5">
      <c r="D204" s="129"/>
      <c r="E204" s="129"/>
    </row>
    <row r="205" spans="4:5">
      <c r="D205" s="129"/>
      <c r="E205" s="129"/>
    </row>
    <row r="206" spans="4:5">
      <c r="D206" s="129"/>
      <c r="E206" s="129"/>
    </row>
    <row r="207" spans="4:5">
      <c r="D207" s="129"/>
      <c r="E207" s="129"/>
    </row>
    <row r="208" spans="4:5">
      <c r="D208" s="129"/>
      <c r="E208" s="129"/>
    </row>
    <row r="209" spans="4:5">
      <c r="D209" s="129"/>
      <c r="E209" s="129"/>
    </row>
    <row r="210" spans="4:5">
      <c r="D210" s="129"/>
      <c r="E210" s="129"/>
    </row>
    <row r="211" spans="4:5">
      <c r="D211" s="129"/>
      <c r="E211" s="129"/>
    </row>
    <row r="212" spans="4:5">
      <c r="D212" s="129"/>
      <c r="E212" s="129"/>
    </row>
    <row r="213" spans="4:5">
      <c r="D213" s="129"/>
      <c r="E213" s="129"/>
    </row>
    <row r="214" spans="4:5">
      <c r="D214" s="129"/>
      <c r="E214" s="129"/>
    </row>
    <row r="215" spans="4:5">
      <c r="D215" s="129"/>
      <c r="E215" s="129"/>
    </row>
    <row r="216" spans="4:5">
      <c r="D216" s="129"/>
      <c r="E216" s="129"/>
    </row>
    <row r="217" spans="4:5">
      <c r="D217" s="129"/>
      <c r="E217" s="129"/>
    </row>
    <row r="218" spans="4:5">
      <c r="D218" s="129"/>
      <c r="E218" s="129"/>
    </row>
    <row r="219" spans="4:5">
      <c r="D219" s="129"/>
      <c r="E219" s="129"/>
    </row>
    <row r="220" spans="4:5">
      <c r="D220" s="129"/>
      <c r="E220" s="129"/>
    </row>
    <row r="221" spans="4:5">
      <c r="D221" s="129"/>
      <c r="E221" s="129"/>
    </row>
    <row r="222" spans="4:5">
      <c r="D222" s="129"/>
      <c r="E222" s="129"/>
    </row>
    <row r="223" spans="4:5">
      <c r="D223" s="129"/>
      <c r="E223" s="129"/>
    </row>
    <row r="224" spans="4:5">
      <c r="D224" s="129"/>
      <c r="E224" s="129"/>
    </row>
    <row r="225" spans="4:5">
      <c r="D225" s="129"/>
      <c r="E225" s="129"/>
    </row>
    <row r="226" spans="4:5">
      <c r="D226" s="129"/>
      <c r="E226" s="129"/>
    </row>
    <row r="227" spans="4:5">
      <c r="D227" s="129"/>
      <c r="E227" s="129"/>
    </row>
    <row r="228" spans="4:5">
      <c r="D228" s="129"/>
      <c r="E228" s="129"/>
    </row>
    <row r="229" spans="4:5">
      <c r="D229" s="129"/>
      <c r="E229" s="129"/>
    </row>
    <row r="230" spans="4:5">
      <c r="D230" s="129"/>
      <c r="E230" s="129"/>
    </row>
    <row r="231" spans="4:5">
      <c r="D231" s="129"/>
      <c r="E231" s="129"/>
    </row>
    <row r="232" spans="4:5">
      <c r="D232" s="129"/>
      <c r="E232" s="129"/>
    </row>
    <row r="233" spans="4:5">
      <c r="D233" s="129"/>
      <c r="E233" s="129"/>
    </row>
    <row r="234" spans="4:5">
      <c r="D234" s="129"/>
      <c r="E234" s="129"/>
    </row>
    <row r="235" spans="4:5">
      <c r="D235" s="129"/>
      <c r="E235" s="129"/>
    </row>
    <row r="236" spans="4:5">
      <c r="D236" s="129"/>
      <c r="E236" s="129"/>
    </row>
    <row r="237" spans="4:5">
      <c r="D237" s="129"/>
      <c r="E237" s="129"/>
    </row>
    <row r="238" spans="4:5">
      <c r="D238" s="129"/>
      <c r="E238" s="129"/>
    </row>
    <row r="239" spans="4:5">
      <c r="D239" s="129"/>
      <c r="E239" s="129"/>
    </row>
    <row r="240" spans="4:5">
      <c r="D240" s="129"/>
      <c r="E240" s="129"/>
    </row>
    <row r="241" spans="4:5">
      <c r="D241" s="129"/>
      <c r="E241" s="129"/>
    </row>
    <row r="242" spans="4:5">
      <c r="D242" s="129"/>
      <c r="E242" s="129"/>
    </row>
    <row r="243" spans="4:5">
      <c r="D243" s="129"/>
      <c r="E243" s="129"/>
    </row>
    <row r="244" spans="4:5">
      <c r="D244" s="129"/>
      <c r="E244" s="129"/>
    </row>
    <row r="245" spans="4:5">
      <c r="D245" s="129"/>
      <c r="E245" s="129"/>
    </row>
    <row r="246" spans="4:5">
      <c r="D246" s="129"/>
      <c r="E246" s="129"/>
    </row>
    <row r="247" spans="4:5">
      <c r="D247" s="129"/>
      <c r="E247" s="129"/>
    </row>
    <row r="248" spans="4:5">
      <c r="D248" s="129"/>
      <c r="E248" s="129"/>
    </row>
    <row r="249" spans="4:5">
      <c r="D249" s="129"/>
      <c r="E249" s="129"/>
    </row>
    <row r="250" spans="4:5">
      <c r="D250" s="129"/>
      <c r="E250" s="129"/>
    </row>
    <row r="251" spans="4:5">
      <c r="D251" s="129"/>
      <c r="E251" s="129"/>
    </row>
    <row r="252" spans="4:5">
      <c r="D252" s="129"/>
      <c r="E252" s="129"/>
    </row>
    <row r="253" spans="4:5">
      <c r="D253" s="129"/>
      <c r="E253" s="129"/>
    </row>
    <row r="254" spans="4:5">
      <c r="D254" s="129"/>
      <c r="E254" s="129"/>
    </row>
    <row r="255" spans="4:5">
      <c r="D255" s="129"/>
      <c r="E255" s="129"/>
    </row>
    <row r="256" spans="4:5">
      <c r="D256" s="129"/>
      <c r="E256" s="129"/>
    </row>
    <row r="257" spans="4:5">
      <c r="D257" s="129"/>
      <c r="E257" s="129"/>
    </row>
    <row r="258" spans="4:5">
      <c r="D258" s="129"/>
      <c r="E258" s="129"/>
    </row>
    <row r="259" spans="4:5">
      <c r="D259" s="129"/>
      <c r="E259" s="129"/>
    </row>
    <row r="260" spans="4:5">
      <c r="D260" s="129"/>
      <c r="E260" s="129"/>
    </row>
    <row r="261" spans="4:5">
      <c r="D261" s="129"/>
      <c r="E261" s="129"/>
    </row>
    <row r="262" spans="4:5">
      <c r="D262" s="129"/>
      <c r="E262" s="129"/>
    </row>
    <row r="263" spans="4:5">
      <c r="D263" s="129"/>
      <c r="E263" s="129"/>
    </row>
    <row r="264" spans="4:5">
      <c r="D264" s="129"/>
      <c r="E264" s="129"/>
    </row>
    <row r="265" spans="4:5">
      <c r="D265" s="129"/>
      <c r="E265" s="129"/>
    </row>
    <row r="266" spans="4:5">
      <c r="D266" s="129"/>
      <c r="E266" s="129"/>
    </row>
    <row r="267" spans="4:5">
      <c r="D267" s="129"/>
      <c r="E267" s="129"/>
    </row>
    <row r="268" spans="4:5">
      <c r="D268" s="129"/>
      <c r="E268" s="129"/>
    </row>
    <row r="269" spans="4:5">
      <c r="D269" s="129"/>
      <c r="E269" s="129"/>
    </row>
    <row r="270" spans="4:5">
      <c r="D270" s="129"/>
      <c r="E270" s="129"/>
    </row>
    <row r="271" spans="4:5">
      <c r="D271" s="129"/>
      <c r="E271" s="129"/>
    </row>
    <row r="272" spans="4:5">
      <c r="D272" s="129"/>
      <c r="E272" s="129"/>
    </row>
    <row r="273" spans="4:5">
      <c r="D273" s="129"/>
      <c r="E273" s="129"/>
    </row>
    <row r="274" spans="4:5">
      <c r="D274" s="129"/>
      <c r="E274" s="129"/>
    </row>
    <row r="275" spans="4:5">
      <c r="D275" s="129"/>
      <c r="E275" s="129"/>
    </row>
    <row r="276" spans="4:5">
      <c r="D276" s="129"/>
      <c r="E276" s="129"/>
    </row>
    <row r="277" spans="4:5">
      <c r="D277" s="129"/>
      <c r="E277" s="129"/>
    </row>
    <row r="278" spans="4:5">
      <c r="D278" s="129"/>
      <c r="E278" s="129"/>
    </row>
    <row r="279" spans="4:5">
      <c r="D279" s="129"/>
      <c r="E279" s="129"/>
    </row>
    <row r="280" spans="4:5">
      <c r="D280" s="129"/>
      <c r="E280" s="129"/>
    </row>
    <row r="281" spans="4:5">
      <c r="D281" s="129"/>
      <c r="E281" s="129"/>
    </row>
    <row r="282" spans="4:5">
      <c r="D282" s="129"/>
      <c r="E282" s="129"/>
    </row>
    <row r="283" spans="4:5">
      <c r="D283" s="129"/>
      <c r="E283" s="129"/>
    </row>
    <row r="284" spans="4:5">
      <c r="D284" s="129"/>
      <c r="E284" s="129"/>
    </row>
    <row r="285" spans="4:5">
      <c r="D285" s="129"/>
      <c r="E285" s="129"/>
    </row>
    <row r="286" spans="4:5">
      <c r="D286" s="129"/>
      <c r="E286" s="129"/>
    </row>
    <row r="287" spans="4:5">
      <c r="D287" s="129"/>
      <c r="E287" s="129"/>
    </row>
    <row r="288" spans="4:5">
      <c r="D288" s="129"/>
      <c r="E288" s="129"/>
    </row>
    <row r="289" spans="4:5">
      <c r="D289" s="129"/>
      <c r="E289" s="129"/>
    </row>
    <row r="290" spans="4:5">
      <c r="D290" s="129"/>
      <c r="E290" s="129"/>
    </row>
    <row r="291" spans="4:5">
      <c r="D291" s="129"/>
      <c r="E291" s="129"/>
    </row>
    <row r="292" spans="4:5">
      <c r="D292" s="129"/>
      <c r="E292" s="129"/>
    </row>
    <row r="293" spans="4:5">
      <c r="D293" s="129"/>
      <c r="E293" s="129"/>
    </row>
    <row r="294" spans="4:5">
      <c r="D294" s="129"/>
      <c r="E294" s="129"/>
    </row>
    <row r="295" spans="4:5">
      <c r="D295" s="129"/>
      <c r="E295" s="129"/>
    </row>
    <row r="296" spans="4:5">
      <c r="D296" s="129"/>
      <c r="E296" s="129"/>
    </row>
    <row r="297" spans="4:5">
      <c r="D297" s="129"/>
      <c r="E297" s="129"/>
    </row>
    <row r="298" spans="4:5">
      <c r="D298" s="129"/>
      <c r="E298" s="129"/>
    </row>
    <row r="299" spans="4:5">
      <c r="D299" s="129"/>
      <c r="E299" s="129"/>
    </row>
    <row r="300" spans="4:5">
      <c r="D300" s="129"/>
      <c r="E300" s="129"/>
    </row>
    <row r="301" spans="4:5">
      <c r="D301" s="129"/>
      <c r="E301" s="129"/>
    </row>
    <row r="302" spans="4:5">
      <c r="D302" s="129"/>
      <c r="E302" s="129"/>
    </row>
    <row r="303" spans="4:5">
      <c r="D303" s="129"/>
      <c r="E303" s="129"/>
    </row>
    <row r="304" spans="4:5">
      <c r="D304" s="129"/>
      <c r="E304" s="129"/>
    </row>
    <row r="305" spans="4:5">
      <c r="D305" s="129"/>
      <c r="E305" s="129"/>
    </row>
    <row r="306" spans="4:5">
      <c r="D306" s="129"/>
      <c r="E306" s="129"/>
    </row>
    <row r="307" spans="4:5">
      <c r="D307" s="129"/>
      <c r="E307" s="129"/>
    </row>
    <row r="308" spans="4:5">
      <c r="D308" s="129"/>
      <c r="E308" s="129"/>
    </row>
    <row r="309" spans="4:5">
      <c r="D309" s="129"/>
      <c r="E309" s="129"/>
    </row>
    <row r="310" spans="4:5">
      <c r="D310" s="129"/>
      <c r="E310" s="129"/>
    </row>
    <row r="311" spans="4:5">
      <c r="D311" s="129"/>
      <c r="E311" s="129"/>
    </row>
    <row r="312" spans="4:5">
      <c r="D312" s="129"/>
      <c r="E312" s="129"/>
    </row>
    <row r="313" spans="4:5">
      <c r="D313" s="129"/>
      <c r="E313" s="129"/>
    </row>
    <row r="314" spans="4:5">
      <c r="D314" s="129"/>
      <c r="E314" s="129"/>
    </row>
    <row r="315" spans="4:5">
      <c r="D315" s="129"/>
      <c r="E315" s="129"/>
    </row>
    <row r="316" spans="4:5">
      <c r="D316" s="129"/>
      <c r="E316" s="129"/>
    </row>
    <row r="317" spans="4:5">
      <c r="D317" s="129"/>
      <c r="E317" s="129"/>
    </row>
    <row r="318" spans="4:5">
      <c r="D318" s="129"/>
      <c r="E318" s="129"/>
    </row>
    <row r="319" spans="4:5">
      <c r="D319" s="129"/>
      <c r="E319" s="129"/>
    </row>
    <row r="320" spans="4:5">
      <c r="D320" s="129"/>
      <c r="E320" s="129"/>
    </row>
    <row r="321" spans="4:5">
      <c r="D321" s="129"/>
      <c r="E321" s="129"/>
    </row>
    <row r="322" spans="4:5">
      <c r="D322" s="129"/>
      <c r="E322" s="129"/>
    </row>
    <row r="323" spans="4:5">
      <c r="D323" s="129"/>
      <c r="E323" s="129"/>
    </row>
    <row r="324" spans="4:5">
      <c r="D324" s="129"/>
      <c r="E324" s="129"/>
    </row>
    <row r="325" spans="4:5">
      <c r="D325" s="129"/>
      <c r="E325" s="129"/>
    </row>
    <row r="326" spans="4:5">
      <c r="D326" s="129"/>
      <c r="E326" s="129"/>
    </row>
    <row r="327" spans="4:5">
      <c r="D327" s="129"/>
      <c r="E327" s="129"/>
    </row>
    <row r="328" spans="4:5">
      <c r="D328" s="129"/>
      <c r="E328" s="129"/>
    </row>
    <row r="329" spans="4:5">
      <c r="D329" s="129"/>
      <c r="E329" s="129"/>
    </row>
    <row r="330" spans="4:5">
      <c r="D330" s="129"/>
      <c r="E330" s="129"/>
    </row>
    <row r="331" spans="4:5">
      <c r="D331" s="129"/>
      <c r="E331" s="129"/>
    </row>
    <row r="332" spans="4:5">
      <c r="D332" s="129"/>
      <c r="E332" s="129"/>
    </row>
    <row r="333" spans="4:5">
      <c r="D333" s="129"/>
      <c r="E333" s="129"/>
    </row>
    <row r="334" spans="4:5">
      <c r="D334" s="129"/>
      <c r="E334" s="129"/>
    </row>
    <row r="335" spans="4:5">
      <c r="D335" s="129"/>
      <c r="E335" s="129"/>
    </row>
    <row r="336" spans="4:5">
      <c r="D336" s="129"/>
      <c r="E336" s="129"/>
    </row>
    <row r="337" spans="4:5">
      <c r="D337" s="129"/>
      <c r="E337" s="129"/>
    </row>
    <row r="338" spans="4:5">
      <c r="D338" s="129"/>
      <c r="E338" s="129"/>
    </row>
    <row r="339" spans="4:5">
      <c r="D339" s="129"/>
      <c r="E339" s="129"/>
    </row>
  </sheetData>
  <mergeCells count="4">
    <mergeCell ref="A4:R4"/>
    <mergeCell ref="A5:R5"/>
    <mergeCell ref="A6:R6"/>
    <mergeCell ref="A7:R7"/>
  </mergeCells>
  <phoneticPr fontId="5" type="noConversion"/>
  <pageMargins left="0.75" right="0.75" top="1" bottom="1" header="0.5" footer="0.5"/>
  <pageSetup scale="47"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indexed="17"/>
    <pageSetUpPr fitToPage="1"/>
  </sheetPr>
  <dimension ref="A1:Y262"/>
  <sheetViews>
    <sheetView zoomScaleNormal="100" zoomScaleSheetLayoutView="100" workbookViewId="0">
      <selection activeCell="O22" sqref="O22"/>
    </sheetView>
  </sheetViews>
  <sheetFormatPr defaultRowHeight="12.75"/>
  <cols>
    <col min="1" max="1" width="4.42578125" bestFit="1" customWidth="1"/>
    <col min="2" max="2" width="41.5703125" bestFit="1" customWidth="1"/>
    <col min="3" max="3" width="6.85546875" style="14" bestFit="1" customWidth="1"/>
    <col min="4" max="4" width="10" bestFit="1" customWidth="1"/>
    <col min="5" max="5" width="11" bestFit="1" customWidth="1"/>
    <col min="6" max="6" width="10.42578125" bestFit="1" customWidth="1"/>
    <col min="7" max="7" width="11" bestFit="1" customWidth="1"/>
    <col min="8" max="8" width="10.85546875" bestFit="1" customWidth="1"/>
    <col min="9" max="9" width="11" bestFit="1" customWidth="1"/>
    <col min="10" max="10" width="10.140625" bestFit="1" customWidth="1"/>
    <col min="11" max="11" width="10" bestFit="1" customWidth="1"/>
    <col min="12" max="12" width="12.85546875" bestFit="1" customWidth="1"/>
    <col min="13" max="13" width="9.7109375" bestFit="1" customWidth="1"/>
    <col min="14" max="14" width="10.5703125" bestFit="1" customWidth="1"/>
    <col min="15" max="15" width="9.7109375" bestFit="1" customWidth="1"/>
    <col min="16" max="16" width="10.85546875" bestFit="1" customWidth="1"/>
    <col min="17" max="17" width="11.42578125" customWidth="1"/>
    <col min="18" max="18" width="9.28515625" bestFit="1" customWidth="1"/>
    <col min="20" max="20" width="9.28515625" bestFit="1" customWidth="1"/>
  </cols>
  <sheetData>
    <row r="1" spans="1:18">
      <c r="Q1" t="str">
        <f>A!D1</f>
        <v>Docket No. RP16-299-000</v>
      </c>
    </row>
    <row r="2" spans="1:18">
      <c r="Q2" t="s">
        <v>745</v>
      </c>
    </row>
    <row r="3" spans="1:18">
      <c r="Q3" t="s">
        <v>251</v>
      </c>
    </row>
    <row r="4" spans="1:18">
      <c r="A4" s="929" t="s">
        <v>658</v>
      </c>
      <c r="B4" s="927"/>
      <c r="C4" s="927"/>
      <c r="D4" s="927"/>
      <c r="E4" s="927"/>
      <c r="F4" s="927"/>
      <c r="G4" s="927"/>
      <c r="H4" s="927"/>
      <c r="I4" s="927"/>
      <c r="J4" s="927"/>
      <c r="K4" s="927"/>
      <c r="L4" s="927"/>
      <c r="M4" s="927"/>
      <c r="N4" s="927"/>
      <c r="O4" s="927"/>
      <c r="P4" s="927"/>
      <c r="Q4" s="927"/>
      <c r="R4" s="927"/>
    </row>
    <row r="5" spans="1:18">
      <c r="A5" s="927" t="s">
        <v>453</v>
      </c>
      <c r="B5" s="927"/>
      <c r="C5" s="927"/>
      <c r="D5" s="927"/>
      <c r="E5" s="927"/>
      <c r="F5" s="927"/>
      <c r="G5" s="927"/>
      <c r="H5" s="927"/>
      <c r="I5" s="927"/>
      <c r="J5" s="927"/>
      <c r="K5" s="927"/>
      <c r="L5" s="927"/>
      <c r="M5" s="927"/>
      <c r="N5" s="927"/>
      <c r="O5" s="927"/>
      <c r="P5" s="927"/>
      <c r="Q5" s="927"/>
      <c r="R5" s="927"/>
    </row>
    <row r="6" spans="1:18">
      <c r="A6" s="928" t="s">
        <v>744</v>
      </c>
      <c r="B6" s="928"/>
      <c r="C6" s="928"/>
      <c r="D6" s="928"/>
      <c r="E6" s="928"/>
      <c r="F6" s="928"/>
      <c r="G6" s="928"/>
      <c r="H6" s="928"/>
      <c r="I6" s="928"/>
      <c r="J6" s="928"/>
      <c r="K6" s="928"/>
      <c r="L6" s="928"/>
      <c r="M6" s="928"/>
      <c r="N6" s="928"/>
      <c r="O6" s="928"/>
      <c r="P6" s="928"/>
      <c r="Q6" s="928"/>
      <c r="R6" s="928"/>
    </row>
    <row r="7" spans="1:18">
      <c r="A7" s="929" t="str">
        <f>'H-1 (2)(a) $ '!A7:R7</f>
        <v>For the Twelve Months Ended December 31, 2015, As Adjusted</v>
      </c>
      <c r="B7" s="929"/>
      <c r="C7" s="929"/>
      <c r="D7" s="929"/>
      <c r="E7" s="929"/>
      <c r="F7" s="929"/>
      <c r="G7" s="929"/>
      <c r="H7" s="929"/>
      <c r="I7" s="929"/>
      <c r="J7" s="929"/>
      <c r="K7" s="929"/>
      <c r="L7" s="929"/>
      <c r="M7" s="929"/>
      <c r="N7" s="929"/>
      <c r="O7" s="929"/>
      <c r="P7" s="929"/>
      <c r="Q7" s="929"/>
      <c r="R7" s="929"/>
    </row>
    <row r="8" spans="1:18" s="2" customFormat="1">
      <c r="C8" s="14"/>
    </row>
    <row r="9" spans="1:18">
      <c r="A9" s="2" t="s">
        <v>352</v>
      </c>
      <c r="B9" s="2"/>
      <c r="C9" s="14" t="s">
        <v>394</v>
      </c>
      <c r="D9" s="2"/>
      <c r="E9" s="2"/>
      <c r="F9" s="2"/>
      <c r="G9" s="2"/>
      <c r="H9" s="2"/>
      <c r="I9" s="2"/>
      <c r="J9" s="2"/>
      <c r="K9" s="2"/>
      <c r="L9" s="2"/>
      <c r="M9" s="2"/>
      <c r="N9" s="2"/>
      <c r="O9" s="2"/>
      <c r="P9" s="2"/>
      <c r="Q9" s="2"/>
      <c r="R9" s="2" t="s">
        <v>326</v>
      </c>
    </row>
    <row r="10" spans="1:18">
      <c r="A10" s="3" t="s">
        <v>353</v>
      </c>
      <c r="B10" s="3" t="s">
        <v>354</v>
      </c>
      <c r="C10" s="15" t="s">
        <v>353</v>
      </c>
      <c r="D10" s="149" t="str">
        <f>'H-1 (2)(a) $ '!D10</f>
        <v>January</v>
      </c>
      <c r="E10" s="149" t="str">
        <f>'H-1 (2)(a) $ '!E10</f>
        <v>February</v>
      </c>
      <c r="F10" s="149" t="str">
        <f>'H-1 (2)(a) $ '!F10</f>
        <v>March</v>
      </c>
      <c r="G10" s="149" t="str">
        <f>'H-1 (2)(a) $ '!G10</f>
        <v>April</v>
      </c>
      <c r="H10" s="149" t="str">
        <f>'H-1 (2)(a) $ '!H10</f>
        <v>May</v>
      </c>
      <c r="I10" s="149" t="str">
        <f>'H-1 (2)(a) $ '!I10</f>
        <v>June</v>
      </c>
      <c r="J10" s="149" t="str">
        <f>'H-1 (2)(a) $ '!J10</f>
        <v>July</v>
      </c>
      <c r="K10" s="149" t="str">
        <f>'H-1 (2)(a) $ '!K10</f>
        <v>August</v>
      </c>
      <c r="L10" s="149" t="str">
        <f>'H-1 (2)(a) $ '!L10</f>
        <v>September</v>
      </c>
      <c r="M10" s="149" t="str">
        <f>'H-1 (2)(a) $ '!M10</f>
        <v>October</v>
      </c>
      <c r="N10" s="149" t="str">
        <f>'H-1 (2)(a) $ '!N10</f>
        <v>November</v>
      </c>
      <c r="O10" s="149" t="str">
        <f>'H-1 (2)(a) $ '!O10</f>
        <v>December</v>
      </c>
      <c r="P10" s="3" t="s">
        <v>38</v>
      </c>
      <c r="Q10" s="3" t="s">
        <v>401</v>
      </c>
      <c r="R10" s="3" t="s">
        <v>402</v>
      </c>
    </row>
    <row r="11" spans="1:18">
      <c r="B11" s="2" t="s">
        <v>361</v>
      </c>
      <c r="C11" s="14" t="s">
        <v>362</v>
      </c>
      <c r="D11" s="2" t="s">
        <v>366</v>
      </c>
      <c r="E11" s="2" t="s">
        <v>363</v>
      </c>
      <c r="F11" s="2" t="s">
        <v>364</v>
      </c>
      <c r="G11" s="2" t="s">
        <v>379</v>
      </c>
      <c r="H11" s="2" t="s">
        <v>380</v>
      </c>
      <c r="I11" s="2" t="s">
        <v>403</v>
      </c>
      <c r="J11" s="2" t="s">
        <v>404</v>
      </c>
      <c r="K11" s="2" t="s">
        <v>351</v>
      </c>
      <c r="L11" s="132" t="s">
        <v>250</v>
      </c>
      <c r="M11" s="2" t="s">
        <v>254</v>
      </c>
      <c r="N11" s="2" t="s">
        <v>313</v>
      </c>
      <c r="O11" s="2" t="s">
        <v>314</v>
      </c>
      <c r="P11" s="2" t="s">
        <v>315</v>
      </c>
      <c r="Q11" s="2" t="s">
        <v>316</v>
      </c>
      <c r="R11" s="2" t="s">
        <v>317</v>
      </c>
    </row>
    <row r="12" spans="1:18">
      <c r="D12" s="2" t="s">
        <v>47</v>
      </c>
      <c r="E12" s="2" t="s">
        <v>47</v>
      </c>
      <c r="F12" s="2" t="s">
        <v>47</v>
      </c>
      <c r="G12" s="2" t="s">
        <v>47</v>
      </c>
      <c r="H12" s="2" t="s">
        <v>47</v>
      </c>
      <c r="I12" s="2" t="s">
        <v>47</v>
      </c>
      <c r="J12" s="2" t="s">
        <v>47</v>
      </c>
      <c r="K12" s="2" t="s">
        <v>47</v>
      </c>
      <c r="L12" s="132" t="s">
        <v>47</v>
      </c>
      <c r="M12" s="2" t="s">
        <v>47</v>
      </c>
      <c r="N12" s="2" t="s">
        <v>47</v>
      </c>
      <c r="O12" s="2" t="s">
        <v>47</v>
      </c>
      <c r="P12" s="2" t="s">
        <v>47</v>
      </c>
      <c r="Q12" s="2" t="s">
        <v>47</v>
      </c>
      <c r="R12" s="2" t="s">
        <v>47</v>
      </c>
    </row>
    <row r="13" spans="1:18" s="72" customFormat="1">
      <c r="A13" s="524">
        <v>1</v>
      </c>
      <c r="B13" s="517" t="s">
        <v>171</v>
      </c>
      <c r="C13" s="518"/>
      <c r="D13" s="524"/>
      <c r="E13" s="524"/>
      <c r="F13" s="524"/>
      <c r="G13" s="524"/>
      <c r="H13" s="524"/>
      <c r="I13" s="524"/>
      <c r="J13" s="524"/>
      <c r="K13" s="524"/>
      <c r="L13" s="524"/>
      <c r="M13" s="524"/>
      <c r="N13" s="524"/>
      <c r="O13" s="524"/>
      <c r="P13" s="629"/>
      <c r="Q13" s="629"/>
      <c r="R13" s="629"/>
    </row>
    <row r="14" spans="1:18" s="72" customFormat="1">
      <c r="A14" s="529">
        <f>A13+1</f>
        <v>2</v>
      </c>
      <c r="B14" s="520" t="s">
        <v>775</v>
      </c>
      <c r="C14" s="521">
        <v>806</v>
      </c>
      <c r="D14" s="527">
        <v>94121</v>
      </c>
      <c r="E14" s="527">
        <v>87683</v>
      </c>
      <c r="F14" s="527">
        <v>-110321</v>
      </c>
      <c r="G14" s="527">
        <v>-44139</v>
      </c>
      <c r="H14" s="527">
        <v>4484</v>
      </c>
      <c r="I14" s="527">
        <v>-11482</v>
      </c>
      <c r="J14" s="527">
        <v>8519</v>
      </c>
      <c r="K14" s="527">
        <v>-61438</v>
      </c>
      <c r="L14" s="527">
        <v>17418</v>
      </c>
      <c r="M14" s="527">
        <v>72515</v>
      </c>
      <c r="N14" s="527">
        <v>-38353</v>
      </c>
      <c r="O14" s="527">
        <v>160244</v>
      </c>
      <c r="P14" s="240">
        <f>SUM(D14:O14)</f>
        <v>179251</v>
      </c>
      <c r="Q14" s="482">
        <f>-P14</f>
        <v>-179251</v>
      </c>
      <c r="R14" s="106">
        <f>+P14+Q14</f>
        <v>0</v>
      </c>
    </row>
    <row r="15" spans="1:18" s="72" customFormat="1">
      <c r="A15" s="529">
        <f t="shared" ref="A15:A19" si="0">A14+1</f>
        <v>3</v>
      </c>
      <c r="B15" s="520" t="s">
        <v>776</v>
      </c>
      <c r="C15" s="526">
        <v>808.1</v>
      </c>
      <c r="D15" s="530">
        <v>111974</v>
      </c>
      <c r="E15" s="530">
        <v>119909</v>
      </c>
      <c r="F15" s="530">
        <v>101222</v>
      </c>
      <c r="G15" s="530">
        <v>82325</v>
      </c>
      <c r="H15" s="530">
        <v>117820</v>
      </c>
      <c r="I15" s="530">
        <v>104275</v>
      </c>
      <c r="J15" s="530">
        <v>45848</v>
      </c>
      <c r="K15" s="530">
        <v>92368</v>
      </c>
      <c r="L15" s="530">
        <v>103994</v>
      </c>
      <c r="M15" s="530">
        <v>59363</v>
      </c>
      <c r="N15" s="530">
        <v>84598</v>
      </c>
      <c r="O15" s="530">
        <v>165274</v>
      </c>
      <c r="P15" s="240">
        <f>SUM(D15:O15)</f>
        <v>1188970</v>
      </c>
      <c r="Q15" s="482">
        <f>-P15</f>
        <v>-1188970</v>
      </c>
      <c r="R15" s="106">
        <f>+P15+Q15</f>
        <v>0</v>
      </c>
    </row>
    <row r="16" spans="1:18" s="72" customFormat="1">
      <c r="A16" s="529">
        <f t="shared" si="0"/>
        <v>4</v>
      </c>
      <c r="B16" s="520" t="s">
        <v>777</v>
      </c>
      <c r="C16" s="526">
        <v>808.2</v>
      </c>
      <c r="D16" s="530">
        <v>-114580</v>
      </c>
      <c r="E16" s="530">
        <v>-123465</v>
      </c>
      <c r="F16" s="530">
        <v>-94495</v>
      </c>
      <c r="G16" s="530">
        <v>-97063</v>
      </c>
      <c r="H16" s="530">
        <v>-114488</v>
      </c>
      <c r="I16" s="530">
        <v>-101739</v>
      </c>
      <c r="J16" s="530">
        <v>-75453</v>
      </c>
      <c r="K16" s="530">
        <v>-72821</v>
      </c>
      <c r="L16" s="530">
        <v>-99664</v>
      </c>
      <c r="M16" s="530">
        <v>-74154</v>
      </c>
      <c r="N16" s="530">
        <v>-59314</v>
      </c>
      <c r="O16" s="530">
        <v>-160244</v>
      </c>
      <c r="P16" s="240">
        <f>SUM(D16:O16)</f>
        <v>-1187480</v>
      </c>
      <c r="Q16" s="482">
        <f>-P16</f>
        <v>1187480</v>
      </c>
      <c r="R16" s="106">
        <f>+P16+Q16</f>
        <v>0</v>
      </c>
    </row>
    <row r="17" spans="1:25" s="72" customFormat="1">
      <c r="A17" s="529">
        <f t="shared" si="0"/>
        <v>5</v>
      </c>
      <c r="B17" s="520" t="s">
        <v>171</v>
      </c>
      <c r="C17" s="521">
        <v>813</v>
      </c>
      <c r="D17" s="527">
        <v>34334</v>
      </c>
      <c r="E17" s="527">
        <v>65811</v>
      </c>
      <c r="F17" s="527">
        <v>-51056</v>
      </c>
      <c r="G17" s="527">
        <v>-21</v>
      </c>
      <c r="H17" s="527">
        <v>-641</v>
      </c>
      <c r="I17" s="527">
        <v>-30075</v>
      </c>
      <c r="J17" s="527">
        <v>-23999</v>
      </c>
      <c r="K17" s="527">
        <v>-70886</v>
      </c>
      <c r="L17" s="527">
        <v>44</v>
      </c>
      <c r="M17" s="527">
        <v>21926</v>
      </c>
      <c r="N17" s="527">
        <v>-17780</v>
      </c>
      <c r="O17" s="527">
        <v>120544</v>
      </c>
      <c r="P17" s="240">
        <f>SUM(D17:O17)</f>
        <v>48201</v>
      </c>
      <c r="Q17" s="482">
        <f>-P17</f>
        <v>-48201</v>
      </c>
      <c r="R17" s="106">
        <f>+P17+Q17</f>
        <v>0</v>
      </c>
    </row>
    <row r="18" spans="1:25" s="72" customFormat="1">
      <c r="A18" s="529">
        <f t="shared" si="0"/>
        <v>6</v>
      </c>
      <c r="B18" s="513" t="s">
        <v>153</v>
      </c>
      <c r="C18" s="524">
        <v>854</v>
      </c>
      <c r="D18" s="527">
        <v>33363</v>
      </c>
      <c r="E18" s="527">
        <v>14707</v>
      </c>
      <c r="F18" s="527">
        <v>13582</v>
      </c>
      <c r="G18" s="527">
        <v>3308</v>
      </c>
      <c r="H18" s="527">
        <v>2691</v>
      </c>
      <c r="I18" s="527">
        <v>10334</v>
      </c>
      <c r="J18" s="527">
        <v>6191</v>
      </c>
      <c r="K18" s="527">
        <v>7314</v>
      </c>
      <c r="L18" s="527">
        <v>2864</v>
      </c>
      <c r="M18" s="527">
        <v>1148</v>
      </c>
      <c r="N18" s="527">
        <v>7668</v>
      </c>
      <c r="O18" s="527">
        <v>39481</v>
      </c>
      <c r="P18" s="240">
        <f>SUM(D18:O18)</f>
        <v>142651</v>
      </c>
      <c r="Q18" s="482">
        <f>-P18</f>
        <v>-142651</v>
      </c>
      <c r="R18" s="106">
        <f>+P18+Q18</f>
        <v>0</v>
      </c>
    </row>
    <row r="19" spans="1:25" s="72" customFormat="1" ht="13.5" thickBot="1">
      <c r="A19" s="529">
        <f t="shared" si="0"/>
        <v>7</v>
      </c>
      <c r="B19" s="517" t="s">
        <v>356</v>
      </c>
      <c r="C19" s="227"/>
      <c r="D19" s="241">
        <f t="shared" ref="D19:R19" si="1">SUM(D14:D18)</f>
        <v>159212</v>
      </c>
      <c r="E19" s="241">
        <f t="shared" si="1"/>
        <v>164645</v>
      </c>
      <c r="F19" s="241">
        <f t="shared" si="1"/>
        <v>-141068</v>
      </c>
      <c r="G19" s="241">
        <f t="shared" si="1"/>
        <v>-55590</v>
      </c>
      <c r="H19" s="241">
        <f t="shared" si="1"/>
        <v>9866</v>
      </c>
      <c r="I19" s="241">
        <f t="shared" si="1"/>
        <v>-28687</v>
      </c>
      <c r="J19" s="241">
        <f t="shared" si="1"/>
        <v>-38894</v>
      </c>
      <c r="K19" s="241">
        <f t="shared" si="1"/>
        <v>-105463</v>
      </c>
      <c r="L19" s="241">
        <f t="shared" si="1"/>
        <v>24656</v>
      </c>
      <c r="M19" s="241">
        <f t="shared" si="1"/>
        <v>80798</v>
      </c>
      <c r="N19" s="241">
        <f t="shared" si="1"/>
        <v>-23181</v>
      </c>
      <c r="O19" s="241">
        <f t="shared" si="1"/>
        <v>325299</v>
      </c>
      <c r="P19" s="241">
        <f t="shared" si="1"/>
        <v>371593</v>
      </c>
      <c r="Q19" s="633">
        <f t="shared" si="1"/>
        <v>-371593</v>
      </c>
      <c r="R19" s="241">
        <f t="shared" si="1"/>
        <v>0</v>
      </c>
      <c r="S19" s="242"/>
      <c r="T19" s="242"/>
      <c r="U19" s="242"/>
      <c r="V19" s="242"/>
      <c r="W19" s="242"/>
      <c r="X19" s="242"/>
      <c r="Y19" s="242"/>
    </row>
    <row r="20" spans="1:25" s="72" customFormat="1" ht="13.5" thickTop="1">
      <c r="A20" s="524"/>
      <c r="B20" s="513"/>
      <c r="C20" s="227"/>
      <c r="D20" s="129"/>
      <c r="E20" s="129"/>
    </row>
    <row r="21" spans="1:25" s="72" customFormat="1">
      <c r="A21" s="524"/>
      <c r="B21" s="513"/>
      <c r="C21" s="227"/>
      <c r="D21" s="129"/>
      <c r="E21" s="129"/>
    </row>
    <row r="22" spans="1:25" s="72" customFormat="1">
      <c r="A22" s="524"/>
      <c r="B22" s="634" t="s">
        <v>778</v>
      </c>
      <c r="C22" s="227"/>
      <c r="D22" s="129"/>
      <c r="E22" s="129"/>
    </row>
    <row r="23" spans="1:25" s="72" customFormat="1">
      <c r="C23" s="227"/>
      <c r="D23" s="129"/>
      <c r="E23" s="129"/>
    </row>
    <row r="24" spans="1:25" s="72" customFormat="1">
      <c r="C24" s="227"/>
      <c r="D24" s="129"/>
      <c r="E24" s="129"/>
    </row>
    <row r="25" spans="1:25" s="72" customFormat="1">
      <c r="C25" s="227"/>
      <c r="D25" s="129"/>
      <c r="E25" s="129"/>
    </row>
    <row r="26" spans="1:25" s="72" customFormat="1">
      <c r="C26" s="227"/>
      <c r="D26" s="129"/>
      <c r="E26" s="129"/>
    </row>
    <row r="27" spans="1:25" s="72" customFormat="1">
      <c r="C27" s="227"/>
      <c r="D27" s="129"/>
      <c r="E27" s="129"/>
    </row>
    <row r="28" spans="1:25">
      <c r="D28" s="5"/>
      <c r="E28" s="5"/>
    </row>
    <row r="29" spans="1:25">
      <c r="D29" s="5"/>
      <c r="E29" s="5"/>
    </row>
    <row r="30" spans="1:25">
      <c r="D30" s="5"/>
      <c r="E30" s="5"/>
    </row>
    <row r="31" spans="1:25">
      <c r="D31" s="5"/>
      <c r="E31" s="5"/>
    </row>
    <row r="32" spans="1:25">
      <c r="D32" s="5"/>
      <c r="E32" s="5"/>
    </row>
    <row r="33" spans="4:5">
      <c r="D33" s="5"/>
      <c r="E33" s="5"/>
    </row>
    <row r="34" spans="4:5">
      <c r="D34" s="5"/>
      <c r="E34" s="5"/>
    </row>
    <row r="35" spans="4:5">
      <c r="D35" s="5"/>
      <c r="E35" s="5"/>
    </row>
    <row r="36" spans="4:5">
      <c r="D36" s="5"/>
      <c r="E36" s="5"/>
    </row>
    <row r="37" spans="4:5">
      <c r="D37" s="5"/>
      <c r="E37" s="5"/>
    </row>
    <row r="38" spans="4:5">
      <c r="D38" s="5"/>
      <c r="E38" s="5"/>
    </row>
    <row r="39" spans="4:5">
      <c r="D39" s="5"/>
      <c r="E39" s="5"/>
    </row>
    <row r="40" spans="4:5">
      <c r="D40" s="5"/>
      <c r="E40" s="5"/>
    </row>
    <row r="41" spans="4:5">
      <c r="D41" s="5"/>
      <c r="E41" s="5"/>
    </row>
    <row r="42" spans="4:5">
      <c r="D42" s="5"/>
      <c r="E42" s="5"/>
    </row>
    <row r="43" spans="4:5">
      <c r="D43" s="5"/>
      <c r="E43" s="5"/>
    </row>
    <row r="44" spans="4:5">
      <c r="D44" s="5"/>
      <c r="E44" s="5"/>
    </row>
    <row r="45" spans="4:5">
      <c r="D45" s="5"/>
      <c r="E45" s="5"/>
    </row>
    <row r="46" spans="4:5">
      <c r="D46" s="5"/>
      <c r="E46" s="5"/>
    </row>
    <row r="47" spans="4:5">
      <c r="D47" s="5"/>
      <c r="E47" s="5"/>
    </row>
    <row r="48" spans="4:5">
      <c r="D48" s="5"/>
      <c r="E48" s="5"/>
    </row>
    <row r="49" spans="4:5">
      <c r="D49" s="5"/>
      <c r="E49" s="5"/>
    </row>
    <row r="50" spans="4:5">
      <c r="D50" s="5"/>
      <c r="E50" s="5"/>
    </row>
    <row r="51" spans="4:5">
      <c r="D51" s="5"/>
      <c r="E51" s="5"/>
    </row>
    <row r="52" spans="4:5">
      <c r="D52" s="5"/>
      <c r="E52" s="5"/>
    </row>
    <row r="53" spans="4:5">
      <c r="D53" s="5"/>
      <c r="E53" s="5"/>
    </row>
    <row r="54" spans="4:5">
      <c r="D54" s="5"/>
      <c r="E54" s="5"/>
    </row>
    <row r="55" spans="4:5">
      <c r="D55" s="5"/>
      <c r="E55" s="5"/>
    </row>
    <row r="56" spans="4:5">
      <c r="D56" s="5"/>
      <c r="E56" s="5"/>
    </row>
    <row r="57" spans="4:5">
      <c r="D57" s="5"/>
      <c r="E57" s="5"/>
    </row>
    <row r="58" spans="4:5">
      <c r="D58" s="5"/>
      <c r="E58" s="5"/>
    </row>
    <row r="59" spans="4:5">
      <c r="D59" s="5"/>
      <c r="E59" s="5"/>
    </row>
    <row r="60" spans="4:5">
      <c r="D60" s="5"/>
      <c r="E60" s="5"/>
    </row>
    <row r="61" spans="4:5">
      <c r="D61" s="5"/>
      <c r="E61" s="5"/>
    </row>
    <row r="62" spans="4:5">
      <c r="D62" s="5"/>
      <c r="E62" s="5"/>
    </row>
    <row r="63" spans="4:5">
      <c r="D63" s="5"/>
      <c r="E63" s="5"/>
    </row>
    <row r="64" spans="4:5">
      <c r="D64" s="5"/>
      <c r="E64" s="5"/>
    </row>
    <row r="65" spans="4:5">
      <c r="D65" s="5"/>
      <c r="E65" s="5"/>
    </row>
    <row r="66" spans="4:5">
      <c r="D66" s="5"/>
      <c r="E66" s="5"/>
    </row>
    <row r="67" spans="4:5">
      <c r="D67" s="5"/>
      <c r="E67" s="5"/>
    </row>
    <row r="68" spans="4:5">
      <c r="D68" s="5"/>
      <c r="E68" s="5"/>
    </row>
    <row r="69" spans="4:5">
      <c r="D69" s="5"/>
      <c r="E69" s="5"/>
    </row>
    <row r="70" spans="4:5">
      <c r="D70" s="5"/>
      <c r="E70" s="5"/>
    </row>
    <row r="71" spans="4:5">
      <c r="D71" s="5"/>
      <c r="E71" s="5"/>
    </row>
    <row r="72" spans="4:5">
      <c r="D72" s="5"/>
      <c r="E72" s="5"/>
    </row>
    <row r="73" spans="4:5">
      <c r="D73" s="5"/>
      <c r="E73" s="5"/>
    </row>
    <row r="74" spans="4:5">
      <c r="D74" s="5"/>
      <c r="E74" s="5"/>
    </row>
    <row r="75" spans="4:5">
      <c r="D75" s="5"/>
      <c r="E75" s="5"/>
    </row>
    <row r="76" spans="4:5">
      <c r="D76" s="5"/>
      <c r="E76" s="5"/>
    </row>
    <row r="77" spans="4:5">
      <c r="D77" s="5"/>
      <c r="E77" s="5"/>
    </row>
    <row r="78" spans="4:5">
      <c r="D78" s="5"/>
      <c r="E78" s="5"/>
    </row>
    <row r="79" spans="4:5">
      <c r="D79" s="5"/>
      <c r="E79" s="5"/>
    </row>
    <row r="80" spans="4:5">
      <c r="D80" s="5"/>
      <c r="E80" s="5"/>
    </row>
    <row r="81" spans="4:5">
      <c r="D81" s="5"/>
      <c r="E81" s="5"/>
    </row>
    <row r="82" spans="4:5">
      <c r="D82" s="5"/>
      <c r="E82" s="5"/>
    </row>
    <row r="83" spans="4:5">
      <c r="D83" s="5"/>
      <c r="E83" s="5"/>
    </row>
    <row r="84" spans="4:5">
      <c r="D84" s="5"/>
      <c r="E84" s="5"/>
    </row>
    <row r="85" spans="4:5">
      <c r="D85" s="5"/>
      <c r="E85" s="5"/>
    </row>
    <row r="86" spans="4:5">
      <c r="D86" s="5"/>
      <c r="E86" s="5"/>
    </row>
    <row r="87" spans="4:5">
      <c r="D87" s="5"/>
      <c r="E87" s="5"/>
    </row>
    <row r="88" spans="4:5">
      <c r="D88" s="5"/>
      <c r="E88" s="5"/>
    </row>
    <row r="89" spans="4:5">
      <c r="D89" s="5"/>
      <c r="E89" s="5"/>
    </row>
    <row r="90" spans="4:5">
      <c r="D90" s="5"/>
      <c r="E90" s="5"/>
    </row>
    <row r="91" spans="4:5">
      <c r="D91" s="5"/>
      <c r="E91" s="5"/>
    </row>
    <row r="92" spans="4:5">
      <c r="D92" s="5"/>
      <c r="E92" s="5"/>
    </row>
    <row r="93" spans="4:5">
      <c r="D93" s="5"/>
      <c r="E93" s="5"/>
    </row>
    <row r="94" spans="4:5">
      <c r="D94" s="5"/>
      <c r="E94" s="5"/>
    </row>
    <row r="95" spans="4:5">
      <c r="D95" s="5"/>
      <c r="E95" s="5"/>
    </row>
    <row r="96" spans="4:5">
      <c r="D96" s="5"/>
      <c r="E96" s="5"/>
    </row>
    <row r="97" spans="4:5">
      <c r="D97" s="5"/>
      <c r="E97" s="5"/>
    </row>
    <row r="98" spans="4:5">
      <c r="D98" s="5"/>
      <c r="E98" s="5"/>
    </row>
    <row r="99" spans="4:5">
      <c r="D99" s="5"/>
      <c r="E99" s="5"/>
    </row>
    <row r="100" spans="4:5">
      <c r="D100" s="5"/>
      <c r="E100" s="5"/>
    </row>
    <row r="101" spans="4:5">
      <c r="D101" s="5"/>
      <c r="E101" s="5"/>
    </row>
    <row r="102" spans="4:5">
      <c r="D102" s="5"/>
      <c r="E102" s="5"/>
    </row>
    <row r="103" spans="4:5">
      <c r="D103" s="5"/>
      <c r="E103" s="5"/>
    </row>
    <row r="104" spans="4:5">
      <c r="D104" s="5"/>
      <c r="E104" s="5"/>
    </row>
    <row r="105" spans="4:5">
      <c r="D105" s="5"/>
      <c r="E105" s="5"/>
    </row>
    <row r="106" spans="4:5">
      <c r="D106" s="5"/>
      <c r="E106" s="5"/>
    </row>
    <row r="107" spans="4:5">
      <c r="D107" s="5"/>
      <c r="E107" s="5"/>
    </row>
    <row r="108" spans="4:5">
      <c r="D108" s="5"/>
      <c r="E108" s="5"/>
    </row>
    <row r="109" spans="4:5">
      <c r="D109" s="5"/>
      <c r="E109" s="5"/>
    </row>
    <row r="110" spans="4:5">
      <c r="D110" s="5"/>
      <c r="E110" s="5"/>
    </row>
    <row r="111" spans="4:5">
      <c r="D111" s="5"/>
      <c r="E111" s="5"/>
    </row>
    <row r="112" spans="4:5">
      <c r="D112" s="5"/>
      <c r="E112" s="5"/>
    </row>
    <row r="113" spans="4:5">
      <c r="D113" s="5"/>
      <c r="E113" s="5"/>
    </row>
    <row r="114" spans="4:5">
      <c r="D114" s="5"/>
      <c r="E114" s="5"/>
    </row>
    <row r="115" spans="4:5">
      <c r="D115" s="5"/>
      <c r="E115" s="5"/>
    </row>
    <row r="116" spans="4:5">
      <c r="D116" s="5"/>
      <c r="E116" s="5"/>
    </row>
    <row r="117" spans="4:5">
      <c r="D117" s="5"/>
      <c r="E117" s="5"/>
    </row>
    <row r="118" spans="4:5">
      <c r="D118" s="5"/>
      <c r="E118" s="5"/>
    </row>
    <row r="119" spans="4:5">
      <c r="D119" s="5"/>
      <c r="E119" s="5"/>
    </row>
    <row r="120" spans="4:5">
      <c r="D120" s="5"/>
      <c r="E120" s="5"/>
    </row>
    <row r="121" spans="4:5">
      <c r="D121" s="5"/>
      <c r="E121" s="5"/>
    </row>
    <row r="122" spans="4:5">
      <c r="D122" s="5"/>
      <c r="E122" s="5"/>
    </row>
    <row r="123" spans="4:5">
      <c r="D123" s="5"/>
      <c r="E123" s="5"/>
    </row>
    <row r="124" spans="4:5">
      <c r="D124" s="5"/>
      <c r="E124" s="5"/>
    </row>
    <row r="125" spans="4:5">
      <c r="D125" s="5"/>
      <c r="E125" s="5"/>
    </row>
    <row r="126" spans="4:5">
      <c r="D126" s="5"/>
      <c r="E126" s="5"/>
    </row>
    <row r="127" spans="4:5">
      <c r="D127" s="5"/>
      <c r="E127" s="5"/>
    </row>
    <row r="128" spans="4:5">
      <c r="D128" s="5"/>
      <c r="E128" s="5"/>
    </row>
    <row r="129" spans="4:5">
      <c r="D129" s="5"/>
      <c r="E129" s="5"/>
    </row>
    <row r="130" spans="4:5">
      <c r="D130" s="5"/>
      <c r="E130" s="5"/>
    </row>
    <row r="131" spans="4:5">
      <c r="D131" s="5"/>
      <c r="E131" s="5"/>
    </row>
    <row r="132" spans="4:5">
      <c r="D132" s="5"/>
      <c r="E132" s="5"/>
    </row>
    <row r="133" spans="4:5">
      <c r="D133" s="5"/>
      <c r="E133" s="5"/>
    </row>
    <row r="134" spans="4:5">
      <c r="D134" s="5"/>
      <c r="E134" s="5"/>
    </row>
    <row r="135" spans="4:5">
      <c r="D135" s="5"/>
      <c r="E135" s="5"/>
    </row>
    <row r="136" spans="4:5">
      <c r="D136" s="5"/>
      <c r="E136" s="5"/>
    </row>
    <row r="137" spans="4:5">
      <c r="D137" s="5"/>
      <c r="E137" s="5"/>
    </row>
    <row r="138" spans="4:5">
      <c r="D138" s="5"/>
      <c r="E138" s="5"/>
    </row>
    <row r="139" spans="4:5">
      <c r="D139" s="5"/>
      <c r="E139" s="5"/>
    </row>
    <row r="140" spans="4:5">
      <c r="D140" s="5"/>
      <c r="E140" s="5"/>
    </row>
    <row r="141" spans="4:5">
      <c r="D141" s="5"/>
      <c r="E141" s="5"/>
    </row>
    <row r="142" spans="4:5">
      <c r="D142" s="5"/>
      <c r="E142" s="5"/>
    </row>
    <row r="143" spans="4:5">
      <c r="D143" s="5"/>
      <c r="E143" s="5"/>
    </row>
    <row r="144" spans="4:5">
      <c r="D144" s="5"/>
      <c r="E144" s="5"/>
    </row>
    <row r="145" spans="4:5">
      <c r="D145" s="5"/>
      <c r="E145" s="5"/>
    </row>
    <row r="146" spans="4:5">
      <c r="D146" s="5"/>
      <c r="E146" s="5"/>
    </row>
    <row r="147" spans="4:5">
      <c r="D147" s="5"/>
      <c r="E147" s="5"/>
    </row>
    <row r="148" spans="4:5">
      <c r="D148" s="5"/>
      <c r="E148" s="5"/>
    </row>
    <row r="149" spans="4:5">
      <c r="D149" s="5"/>
      <c r="E149" s="5"/>
    </row>
    <row r="150" spans="4:5">
      <c r="D150" s="5"/>
      <c r="E150" s="5"/>
    </row>
    <row r="151" spans="4:5">
      <c r="D151" s="5"/>
      <c r="E151" s="5"/>
    </row>
    <row r="152" spans="4:5">
      <c r="D152" s="5"/>
      <c r="E152" s="5"/>
    </row>
    <row r="153" spans="4:5">
      <c r="D153" s="5"/>
      <c r="E153" s="5"/>
    </row>
    <row r="154" spans="4:5">
      <c r="D154" s="5"/>
      <c r="E154" s="5"/>
    </row>
    <row r="155" spans="4:5">
      <c r="D155" s="5"/>
      <c r="E155" s="5"/>
    </row>
    <row r="156" spans="4:5">
      <c r="D156" s="5"/>
      <c r="E156" s="5"/>
    </row>
    <row r="157" spans="4:5">
      <c r="D157" s="5"/>
      <c r="E157" s="5"/>
    </row>
    <row r="158" spans="4:5">
      <c r="D158" s="5"/>
      <c r="E158" s="5"/>
    </row>
    <row r="159" spans="4:5">
      <c r="D159" s="5"/>
      <c r="E159" s="5"/>
    </row>
    <row r="160" spans="4:5">
      <c r="D160" s="5"/>
      <c r="E160" s="5"/>
    </row>
    <row r="161" spans="4:5">
      <c r="D161" s="5"/>
      <c r="E161" s="5"/>
    </row>
    <row r="162" spans="4:5">
      <c r="D162" s="5"/>
      <c r="E162" s="5"/>
    </row>
    <row r="163" spans="4:5">
      <c r="D163" s="5"/>
      <c r="E163" s="5"/>
    </row>
    <row r="164" spans="4:5">
      <c r="D164" s="5"/>
      <c r="E164" s="5"/>
    </row>
    <row r="165" spans="4:5">
      <c r="D165" s="5"/>
      <c r="E165" s="5"/>
    </row>
    <row r="166" spans="4:5">
      <c r="D166" s="5"/>
      <c r="E166" s="5"/>
    </row>
    <row r="167" spans="4:5">
      <c r="D167" s="5"/>
      <c r="E167" s="5"/>
    </row>
    <row r="168" spans="4:5">
      <c r="D168" s="5"/>
      <c r="E168" s="5"/>
    </row>
    <row r="169" spans="4:5">
      <c r="D169" s="5"/>
      <c r="E169" s="5"/>
    </row>
    <row r="170" spans="4:5">
      <c r="D170" s="5"/>
      <c r="E170" s="5"/>
    </row>
    <row r="171" spans="4:5">
      <c r="D171" s="5"/>
      <c r="E171" s="5"/>
    </row>
    <row r="172" spans="4:5">
      <c r="D172" s="5"/>
      <c r="E172" s="5"/>
    </row>
    <row r="173" spans="4:5">
      <c r="D173" s="5"/>
      <c r="E173" s="5"/>
    </row>
    <row r="174" spans="4:5">
      <c r="D174" s="5"/>
      <c r="E174" s="5"/>
    </row>
    <row r="175" spans="4:5">
      <c r="D175" s="5"/>
      <c r="E175" s="5"/>
    </row>
    <row r="176" spans="4:5">
      <c r="D176" s="5"/>
      <c r="E176" s="5"/>
    </row>
    <row r="177" spans="4:5">
      <c r="D177" s="5"/>
      <c r="E177" s="5"/>
    </row>
    <row r="178" spans="4:5">
      <c r="D178" s="5"/>
      <c r="E178" s="5"/>
    </row>
    <row r="179" spans="4:5">
      <c r="D179" s="5"/>
      <c r="E179" s="5"/>
    </row>
    <row r="180" spans="4:5">
      <c r="D180" s="5"/>
      <c r="E180" s="5"/>
    </row>
    <row r="181" spans="4:5">
      <c r="D181" s="5"/>
      <c r="E181" s="5"/>
    </row>
    <row r="182" spans="4:5">
      <c r="D182" s="5"/>
      <c r="E182" s="5"/>
    </row>
    <row r="183" spans="4:5">
      <c r="D183" s="5"/>
      <c r="E183" s="5"/>
    </row>
    <row r="184" spans="4:5">
      <c r="D184" s="5"/>
      <c r="E184" s="5"/>
    </row>
    <row r="185" spans="4:5">
      <c r="D185" s="5"/>
      <c r="E185" s="5"/>
    </row>
    <row r="186" spans="4:5">
      <c r="D186" s="5"/>
      <c r="E186" s="5"/>
    </row>
    <row r="187" spans="4:5">
      <c r="D187" s="5"/>
      <c r="E187" s="5"/>
    </row>
    <row r="188" spans="4:5">
      <c r="D188" s="5"/>
      <c r="E188" s="5"/>
    </row>
    <row r="189" spans="4:5">
      <c r="D189" s="5"/>
      <c r="E189" s="5"/>
    </row>
    <row r="190" spans="4:5">
      <c r="D190" s="5"/>
      <c r="E190" s="5"/>
    </row>
    <row r="191" spans="4:5">
      <c r="D191" s="5"/>
      <c r="E191" s="5"/>
    </row>
    <row r="192" spans="4:5">
      <c r="D192" s="5"/>
      <c r="E192" s="5"/>
    </row>
    <row r="193" spans="4:5">
      <c r="D193" s="5"/>
      <c r="E193" s="5"/>
    </row>
    <row r="194" spans="4:5">
      <c r="D194" s="5"/>
      <c r="E194" s="5"/>
    </row>
    <row r="195" spans="4:5">
      <c r="D195" s="5"/>
      <c r="E195" s="5"/>
    </row>
    <row r="196" spans="4:5">
      <c r="D196" s="5"/>
      <c r="E196" s="5"/>
    </row>
    <row r="197" spans="4:5">
      <c r="D197" s="5"/>
      <c r="E197" s="5"/>
    </row>
    <row r="198" spans="4:5">
      <c r="D198" s="5"/>
      <c r="E198" s="5"/>
    </row>
    <row r="199" spans="4:5">
      <c r="D199" s="5"/>
      <c r="E199" s="5"/>
    </row>
    <row r="200" spans="4:5">
      <c r="D200" s="5"/>
      <c r="E200" s="5"/>
    </row>
    <row r="201" spans="4:5">
      <c r="D201" s="5"/>
      <c r="E201" s="5"/>
    </row>
    <row r="202" spans="4:5">
      <c r="D202" s="5"/>
      <c r="E202" s="5"/>
    </row>
    <row r="203" spans="4:5">
      <c r="D203" s="5"/>
      <c r="E203" s="5"/>
    </row>
    <row r="204" spans="4:5">
      <c r="D204" s="5"/>
      <c r="E204" s="5"/>
    </row>
    <row r="205" spans="4:5">
      <c r="D205" s="5"/>
      <c r="E205" s="5"/>
    </row>
    <row r="206" spans="4:5">
      <c r="D206" s="5"/>
      <c r="E206" s="5"/>
    </row>
    <row r="207" spans="4:5">
      <c r="D207" s="5"/>
      <c r="E207" s="5"/>
    </row>
    <row r="208" spans="4:5">
      <c r="D208" s="5"/>
      <c r="E208" s="5"/>
    </row>
    <row r="209" spans="4:5">
      <c r="D209" s="5"/>
      <c r="E209" s="5"/>
    </row>
    <row r="210" spans="4:5">
      <c r="D210" s="5"/>
      <c r="E210" s="5"/>
    </row>
    <row r="211" spans="4:5">
      <c r="D211" s="5"/>
      <c r="E211" s="5"/>
    </row>
    <row r="212" spans="4:5">
      <c r="D212" s="5"/>
      <c r="E212" s="5"/>
    </row>
    <row r="213" spans="4:5">
      <c r="D213" s="5"/>
      <c r="E213" s="5"/>
    </row>
    <row r="214" spans="4:5">
      <c r="D214" s="5"/>
      <c r="E214" s="5"/>
    </row>
    <row r="215" spans="4:5">
      <c r="D215" s="5"/>
      <c r="E215" s="5"/>
    </row>
    <row r="216" spans="4:5">
      <c r="D216" s="5"/>
      <c r="E216" s="5"/>
    </row>
    <row r="217" spans="4:5">
      <c r="D217" s="5"/>
      <c r="E217" s="5"/>
    </row>
    <row r="218" spans="4:5">
      <c r="D218" s="5"/>
      <c r="E218" s="5"/>
    </row>
    <row r="219" spans="4:5">
      <c r="D219" s="5"/>
      <c r="E219" s="5"/>
    </row>
    <row r="220" spans="4:5">
      <c r="D220" s="5"/>
      <c r="E220" s="5"/>
    </row>
    <row r="221" spans="4:5">
      <c r="D221" s="5"/>
      <c r="E221" s="5"/>
    </row>
    <row r="222" spans="4:5">
      <c r="D222" s="5"/>
      <c r="E222" s="5"/>
    </row>
    <row r="223" spans="4:5">
      <c r="D223" s="5"/>
      <c r="E223" s="5"/>
    </row>
    <row r="224" spans="4:5">
      <c r="D224" s="5"/>
      <c r="E224" s="5"/>
    </row>
    <row r="225" spans="4:5">
      <c r="D225" s="5"/>
      <c r="E225" s="5"/>
    </row>
    <row r="226" spans="4:5">
      <c r="D226" s="5"/>
      <c r="E226" s="5"/>
    </row>
    <row r="227" spans="4:5">
      <c r="D227" s="5"/>
      <c r="E227" s="5"/>
    </row>
    <row r="228" spans="4:5">
      <c r="D228" s="5"/>
      <c r="E228" s="5"/>
    </row>
    <row r="229" spans="4:5">
      <c r="D229" s="5"/>
      <c r="E229" s="5"/>
    </row>
    <row r="230" spans="4:5">
      <c r="D230" s="5"/>
      <c r="E230" s="5"/>
    </row>
    <row r="231" spans="4:5">
      <c r="D231" s="5"/>
      <c r="E231" s="5"/>
    </row>
    <row r="232" spans="4:5">
      <c r="D232" s="5"/>
      <c r="E232" s="5"/>
    </row>
    <row r="233" spans="4:5">
      <c r="D233" s="5"/>
      <c r="E233" s="5"/>
    </row>
    <row r="234" spans="4:5">
      <c r="D234" s="5"/>
      <c r="E234" s="5"/>
    </row>
    <row r="235" spans="4:5">
      <c r="D235" s="5"/>
      <c r="E235" s="5"/>
    </row>
    <row r="236" spans="4:5">
      <c r="D236" s="5"/>
      <c r="E236" s="5"/>
    </row>
    <row r="237" spans="4:5">
      <c r="D237" s="5"/>
      <c r="E237" s="5"/>
    </row>
    <row r="238" spans="4:5">
      <c r="D238" s="5"/>
      <c r="E238" s="5"/>
    </row>
    <row r="239" spans="4:5">
      <c r="D239" s="5"/>
      <c r="E239" s="5"/>
    </row>
    <row r="240" spans="4:5">
      <c r="D240" s="5"/>
      <c r="E240" s="5"/>
    </row>
    <row r="241" spans="4:5">
      <c r="D241" s="5"/>
      <c r="E241" s="5"/>
    </row>
    <row r="242" spans="4:5">
      <c r="D242" s="5"/>
      <c r="E242" s="5"/>
    </row>
    <row r="243" spans="4:5">
      <c r="D243" s="5"/>
      <c r="E243" s="5"/>
    </row>
    <row r="244" spans="4:5">
      <c r="D244" s="5"/>
      <c r="E244" s="5"/>
    </row>
    <row r="245" spans="4:5">
      <c r="D245" s="5"/>
      <c r="E245" s="5"/>
    </row>
    <row r="246" spans="4:5">
      <c r="D246" s="5"/>
      <c r="E246" s="5"/>
    </row>
    <row r="247" spans="4:5">
      <c r="D247" s="5"/>
      <c r="E247" s="5"/>
    </row>
    <row r="248" spans="4:5">
      <c r="D248" s="5"/>
      <c r="E248" s="5"/>
    </row>
    <row r="249" spans="4:5">
      <c r="D249" s="5"/>
      <c r="E249" s="5"/>
    </row>
    <row r="250" spans="4:5">
      <c r="D250" s="5"/>
      <c r="E250" s="5"/>
    </row>
    <row r="251" spans="4:5">
      <c r="D251" s="5"/>
      <c r="E251" s="5"/>
    </row>
    <row r="252" spans="4:5">
      <c r="D252" s="5"/>
      <c r="E252" s="5"/>
    </row>
    <row r="253" spans="4:5">
      <c r="D253" s="5"/>
      <c r="E253" s="5"/>
    </row>
    <row r="254" spans="4:5">
      <c r="D254" s="5"/>
      <c r="E254" s="5"/>
    </row>
    <row r="255" spans="4:5">
      <c r="D255" s="5"/>
      <c r="E255" s="5"/>
    </row>
    <row r="256" spans="4:5">
      <c r="D256" s="5"/>
      <c r="E256" s="5"/>
    </row>
    <row r="257" spans="4:5">
      <c r="D257" s="5"/>
      <c r="E257" s="5"/>
    </row>
    <row r="258" spans="4:5">
      <c r="D258" s="5"/>
      <c r="E258" s="5"/>
    </row>
    <row r="259" spans="4:5">
      <c r="D259" s="5"/>
      <c r="E259" s="5"/>
    </row>
    <row r="260" spans="4:5">
      <c r="D260" s="5"/>
      <c r="E260" s="5"/>
    </row>
    <row r="261" spans="4:5">
      <c r="D261" s="5"/>
      <c r="E261" s="5"/>
    </row>
    <row r="262" spans="4:5">
      <c r="D262" s="5"/>
      <c r="E262" s="5"/>
    </row>
  </sheetData>
  <mergeCells count="4">
    <mergeCell ref="A4:R4"/>
    <mergeCell ref="A5:R5"/>
    <mergeCell ref="A6:R6"/>
    <mergeCell ref="A7:R7"/>
  </mergeCells>
  <phoneticPr fontId="5" type="noConversion"/>
  <pageMargins left="0.75" right="0.75" top="1" bottom="1" header="0.5" footer="0.5"/>
  <pageSetup scale="58" orientation="landscape" r:id="rId1"/>
  <headerFooter alignWithMargins="0"/>
  <ignoredErrors>
    <ignoredError sqref="P14:P18" formulaRange="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indexed="10"/>
    <pageSetUpPr fitToPage="1"/>
  </sheetPr>
  <dimension ref="A1:M327"/>
  <sheetViews>
    <sheetView workbookViewId="0">
      <selection activeCell="A4" sqref="A4:F4"/>
    </sheetView>
  </sheetViews>
  <sheetFormatPr defaultRowHeight="12.75"/>
  <cols>
    <col min="1" max="1" width="4.42578125" bestFit="1" customWidth="1"/>
    <col min="2" max="2" width="41.5703125" bestFit="1" customWidth="1"/>
    <col min="3" max="3" width="11.42578125" customWidth="1"/>
    <col min="4" max="4" width="9.28515625" style="14" bestFit="1" customWidth="1"/>
    <col min="5" max="5" width="13.5703125" customWidth="1"/>
    <col min="6" max="6" width="16.5703125" bestFit="1" customWidth="1"/>
  </cols>
  <sheetData>
    <row r="1" spans="1:13">
      <c r="F1" t="str">
        <f>'Title Input and Macros'!B7</f>
        <v>Docket No. RP16-299-000</v>
      </c>
    </row>
    <row r="2" spans="1:13">
      <c r="F2" t="s">
        <v>412</v>
      </c>
    </row>
    <row r="4" spans="1:13">
      <c r="A4" s="929" t="str">
        <f>'H-1 (1)(c) Dth'!A4:R4</f>
        <v>Tuscarora Gas Transmission Company</v>
      </c>
      <c r="B4" s="927"/>
      <c r="C4" s="927"/>
      <c r="D4" s="927"/>
      <c r="E4" s="927"/>
      <c r="F4" s="927"/>
    </row>
    <row r="5" spans="1:13">
      <c r="A5" s="927" t="s">
        <v>130</v>
      </c>
      <c r="B5" s="927"/>
      <c r="C5" s="927"/>
      <c r="D5" s="927"/>
      <c r="E5" s="927"/>
      <c r="F5" s="927"/>
    </row>
    <row r="6" spans="1:13">
      <c r="A6" s="929" t="str">
        <f>'Title Input and Macros'!B9</f>
        <v>For the Twelve Months Ended December 31, 2015, As Adjusted</v>
      </c>
      <c r="B6" s="927"/>
      <c r="C6" s="927"/>
      <c r="D6" s="927"/>
      <c r="E6" s="927"/>
      <c r="F6" s="927"/>
    </row>
    <row r="7" spans="1:13">
      <c r="A7" s="929"/>
      <c r="B7" s="929"/>
      <c r="C7" s="929"/>
      <c r="D7" s="929"/>
      <c r="E7" s="929"/>
      <c r="F7" s="929"/>
    </row>
    <row r="8" spans="1:13" s="2" customFormat="1">
      <c r="D8" s="14"/>
    </row>
    <row r="9" spans="1:13">
      <c r="A9" s="2"/>
      <c r="B9" s="139" t="s">
        <v>779</v>
      </c>
      <c r="C9" s="2"/>
      <c r="E9" s="2"/>
      <c r="F9" s="2"/>
    </row>
    <row r="10" spans="1:13">
      <c r="A10" s="3"/>
      <c r="B10" s="3"/>
      <c r="C10" s="3"/>
      <c r="D10" s="15"/>
      <c r="E10" s="3"/>
      <c r="F10" s="3"/>
    </row>
    <row r="11" spans="1:13">
      <c r="B11" s="2"/>
      <c r="C11" s="2"/>
      <c r="E11" s="2"/>
      <c r="F11" s="2"/>
    </row>
    <row r="12" spans="1:13">
      <c r="E12" s="2"/>
      <c r="F12" s="2"/>
    </row>
    <row r="13" spans="1:13">
      <c r="B13" s="135"/>
      <c r="C13" s="135"/>
      <c r="D13" s="133"/>
      <c r="E13" s="128"/>
      <c r="F13" s="128"/>
    </row>
    <row r="14" spans="1:13">
      <c r="B14" s="135"/>
      <c r="C14" s="135"/>
      <c r="D14" s="128"/>
      <c r="E14" s="128"/>
      <c r="F14" s="128"/>
      <c r="G14" s="9"/>
      <c r="H14" s="188"/>
      <c r="I14" s="136"/>
      <c r="J14" s="9"/>
      <c r="K14" s="9"/>
      <c r="L14" s="9"/>
      <c r="M14" s="9"/>
    </row>
    <row r="15" spans="1:13">
      <c r="B15" s="136"/>
      <c r="C15" s="136"/>
      <c r="D15" s="70"/>
      <c r="E15" s="70"/>
      <c r="F15" s="128"/>
      <c r="H15" s="188"/>
      <c r="I15" s="135"/>
    </row>
    <row r="16" spans="1:13">
      <c r="B16" s="135"/>
      <c r="C16" s="136"/>
      <c r="D16" s="70"/>
      <c r="E16" s="70"/>
      <c r="F16" s="128"/>
      <c r="H16" s="188"/>
      <c r="I16" s="135"/>
    </row>
    <row r="17" spans="2:9">
      <c r="B17" s="135"/>
      <c r="C17" s="136"/>
      <c r="D17" s="70"/>
      <c r="E17" s="70"/>
      <c r="F17" s="128"/>
      <c r="H17" s="188"/>
      <c r="I17" s="135"/>
    </row>
    <row r="18" spans="2:9">
      <c r="B18" s="135"/>
      <c r="C18" s="136"/>
      <c r="D18" s="70"/>
      <c r="E18" s="70"/>
      <c r="F18" s="128"/>
      <c r="H18" s="188"/>
      <c r="I18" s="235"/>
    </row>
    <row r="19" spans="2:9">
      <c r="B19" s="135"/>
      <c r="C19" s="136"/>
      <c r="D19" s="70"/>
      <c r="E19" s="70"/>
      <c r="F19" s="128"/>
      <c r="H19" s="188"/>
      <c r="I19" s="135"/>
    </row>
    <row r="20" spans="2:9">
      <c r="B20" s="131"/>
      <c r="C20" s="131"/>
      <c r="D20" s="133"/>
      <c r="E20" s="133"/>
      <c r="F20" s="133"/>
    </row>
    <row r="21" spans="2:9">
      <c r="D21" s="70"/>
      <c r="E21" s="68"/>
      <c r="F21" s="68"/>
    </row>
    <row r="23" spans="2:9">
      <c r="F23" s="68"/>
    </row>
    <row r="33" spans="5:6">
      <c r="E33" s="5"/>
      <c r="F33" s="5"/>
    </row>
    <row r="34" spans="5:6">
      <c r="E34" s="5"/>
      <c r="F34" s="5"/>
    </row>
    <row r="35" spans="5:6">
      <c r="E35" s="5"/>
      <c r="F35" s="5"/>
    </row>
    <row r="36" spans="5:6">
      <c r="E36" s="5"/>
      <c r="F36" s="5"/>
    </row>
    <row r="37" spans="5:6">
      <c r="E37" s="5"/>
      <c r="F37" s="5"/>
    </row>
    <row r="38" spans="5:6">
      <c r="E38" s="5"/>
      <c r="F38" s="5"/>
    </row>
    <row r="39" spans="5:6">
      <c r="E39" s="5"/>
      <c r="F39" s="5"/>
    </row>
    <row r="40" spans="5:6">
      <c r="E40" s="5"/>
      <c r="F40" s="5"/>
    </row>
    <row r="41" spans="5:6">
      <c r="E41" s="5"/>
      <c r="F41" s="5"/>
    </row>
    <row r="42" spans="5:6">
      <c r="E42" s="5"/>
      <c r="F42" s="5"/>
    </row>
    <row r="43" spans="5:6">
      <c r="E43" s="5"/>
      <c r="F43" s="5"/>
    </row>
    <row r="44" spans="5:6">
      <c r="E44" s="5"/>
      <c r="F44" s="5"/>
    </row>
    <row r="45" spans="5:6">
      <c r="E45" s="5"/>
      <c r="F45" s="5"/>
    </row>
    <row r="46" spans="5:6">
      <c r="E46" s="5"/>
      <c r="F46" s="5"/>
    </row>
    <row r="47" spans="5:6">
      <c r="E47" s="5"/>
      <c r="F47" s="5"/>
    </row>
    <row r="48" spans="5:6">
      <c r="E48" s="5"/>
      <c r="F48" s="5"/>
    </row>
    <row r="49" spans="5:6">
      <c r="E49" s="5"/>
      <c r="F49" s="5"/>
    </row>
    <row r="50" spans="5:6">
      <c r="E50" s="5"/>
      <c r="F50" s="5"/>
    </row>
    <row r="51" spans="5:6">
      <c r="E51" s="5"/>
      <c r="F51" s="5"/>
    </row>
    <row r="52" spans="5:6">
      <c r="E52" s="5"/>
      <c r="F52" s="5"/>
    </row>
    <row r="53" spans="5:6">
      <c r="E53" s="5"/>
      <c r="F53" s="5"/>
    </row>
    <row r="54" spans="5:6">
      <c r="E54" s="5"/>
      <c r="F54" s="5"/>
    </row>
    <row r="55" spans="5:6">
      <c r="E55" s="5"/>
      <c r="F55" s="5"/>
    </row>
    <row r="56" spans="5:6">
      <c r="E56" s="5"/>
      <c r="F56" s="5"/>
    </row>
    <row r="57" spans="5:6">
      <c r="E57" s="5"/>
      <c r="F57" s="5"/>
    </row>
    <row r="58" spans="5:6">
      <c r="E58" s="5"/>
      <c r="F58" s="5"/>
    </row>
    <row r="59" spans="5:6">
      <c r="E59" s="5"/>
      <c r="F59" s="5"/>
    </row>
    <row r="60" spans="5:6">
      <c r="E60" s="5"/>
      <c r="F60" s="5"/>
    </row>
    <row r="61" spans="5:6">
      <c r="E61" s="5"/>
      <c r="F61" s="5"/>
    </row>
    <row r="62" spans="5:6">
      <c r="E62" s="5"/>
      <c r="F62" s="5"/>
    </row>
    <row r="63" spans="5:6">
      <c r="E63" s="5"/>
      <c r="F63" s="5"/>
    </row>
    <row r="64" spans="5:6">
      <c r="E64" s="5"/>
      <c r="F64" s="5"/>
    </row>
    <row r="65" spans="5:6">
      <c r="E65" s="5"/>
      <c r="F65" s="5"/>
    </row>
    <row r="66" spans="5:6">
      <c r="E66" s="5"/>
      <c r="F66" s="5"/>
    </row>
    <row r="67" spans="5:6">
      <c r="E67" s="5"/>
      <c r="F67" s="5"/>
    </row>
    <row r="68" spans="5:6">
      <c r="E68" s="5"/>
      <c r="F68" s="5"/>
    </row>
    <row r="69" spans="5:6">
      <c r="E69" s="5"/>
      <c r="F69" s="5"/>
    </row>
    <row r="70" spans="5:6">
      <c r="E70" s="5"/>
      <c r="F70" s="5"/>
    </row>
    <row r="71" spans="5:6">
      <c r="E71" s="5"/>
      <c r="F71" s="5"/>
    </row>
    <row r="72" spans="5:6">
      <c r="E72" s="5"/>
      <c r="F72" s="5"/>
    </row>
    <row r="73" spans="5:6">
      <c r="E73" s="5"/>
      <c r="F73" s="5"/>
    </row>
    <row r="74" spans="5:6">
      <c r="E74" s="5"/>
      <c r="F74" s="5"/>
    </row>
    <row r="75" spans="5:6">
      <c r="E75" s="5"/>
      <c r="F75" s="5"/>
    </row>
    <row r="76" spans="5:6">
      <c r="E76" s="5"/>
      <c r="F76" s="5"/>
    </row>
    <row r="77" spans="5:6">
      <c r="E77" s="5"/>
      <c r="F77" s="5"/>
    </row>
    <row r="78" spans="5:6">
      <c r="E78" s="5"/>
      <c r="F78" s="5"/>
    </row>
    <row r="79" spans="5:6">
      <c r="E79" s="5"/>
      <c r="F79" s="5"/>
    </row>
    <row r="80" spans="5:6">
      <c r="E80" s="5"/>
      <c r="F80" s="5"/>
    </row>
    <row r="81" spans="5:6">
      <c r="E81" s="5"/>
      <c r="F81" s="5"/>
    </row>
    <row r="82" spans="5:6">
      <c r="E82" s="5"/>
      <c r="F82" s="5"/>
    </row>
    <row r="83" spans="5:6">
      <c r="E83" s="5"/>
      <c r="F83" s="5"/>
    </row>
    <row r="84" spans="5:6">
      <c r="E84" s="5"/>
      <c r="F84" s="5"/>
    </row>
    <row r="85" spans="5:6">
      <c r="E85" s="5"/>
      <c r="F85" s="5"/>
    </row>
    <row r="86" spans="5:6">
      <c r="E86" s="5"/>
      <c r="F86" s="5"/>
    </row>
    <row r="87" spans="5:6">
      <c r="E87" s="5"/>
      <c r="F87" s="5"/>
    </row>
    <row r="88" spans="5:6">
      <c r="E88" s="5"/>
      <c r="F88" s="5"/>
    </row>
    <row r="89" spans="5:6">
      <c r="E89" s="5"/>
      <c r="F89" s="5"/>
    </row>
    <row r="90" spans="5:6">
      <c r="E90" s="5"/>
      <c r="F90" s="5"/>
    </row>
    <row r="91" spans="5:6">
      <c r="E91" s="5"/>
      <c r="F91" s="5"/>
    </row>
    <row r="92" spans="5:6">
      <c r="E92" s="5"/>
      <c r="F92" s="5"/>
    </row>
    <row r="93" spans="5:6">
      <c r="E93" s="5"/>
      <c r="F93" s="5"/>
    </row>
    <row r="94" spans="5:6">
      <c r="E94" s="5"/>
      <c r="F94" s="5"/>
    </row>
    <row r="95" spans="5:6">
      <c r="E95" s="5"/>
      <c r="F95" s="5"/>
    </row>
    <row r="96" spans="5:6">
      <c r="E96" s="5"/>
      <c r="F96" s="5"/>
    </row>
    <row r="97" spans="5:6">
      <c r="E97" s="5"/>
      <c r="F97" s="5"/>
    </row>
    <row r="98" spans="5:6">
      <c r="E98" s="5"/>
      <c r="F98" s="5"/>
    </row>
    <row r="99" spans="5:6">
      <c r="E99" s="5"/>
      <c r="F99" s="5"/>
    </row>
    <row r="100" spans="5:6">
      <c r="E100" s="5"/>
      <c r="F100" s="5"/>
    </row>
    <row r="101" spans="5:6">
      <c r="E101" s="5"/>
      <c r="F101" s="5"/>
    </row>
    <row r="102" spans="5:6">
      <c r="E102" s="5"/>
      <c r="F102" s="5"/>
    </row>
    <row r="103" spans="5:6">
      <c r="E103" s="5"/>
      <c r="F103" s="5"/>
    </row>
    <row r="104" spans="5:6">
      <c r="E104" s="5"/>
      <c r="F104" s="5"/>
    </row>
    <row r="105" spans="5:6">
      <c r="E105" s="5"/>
      <c r="F105" s="5"/>
    </row>
    <row r="106" spans="5:6">
      <c r="E106" s="5"/>
      <c r="F106" s="5"/>
    </row>
    <row r="107" spans="5:6">
      <c r="E107" s="5"/>
      <c r="F107" s="5"/>
    </row>
    <row r="108" spans="5:6">
      <c r="E108" s="5"/>
      <c r="F108" s="5"/>
    </row>
    <row r="109" spans="5:6">
      <c r="E109" s="5"/>
      <c r="F109" s="5"/>
    </row>
    <row r="110" spans="5:6">
      <c r="E110" s="5"/>
      <c r="F110" s="5"/>
    </row>
    <row r="111" spans="5:6">
      <c r="E111" s="5"/>
      <c r="F111" s="5"/>
    </row>
    <row r="112" spans="5:6">
      <c r="E112" s="5"/>
      <c r="F112" s="5"/>
    </row>
    <row r="113" spans="5:6">
      <c r="E113" s="5"/>
      <c r="F113" s="5"/>
    </row>
    <row r="114" spans="5:6">
      <c r="E114" s="5"/>
      <c r="F114" s="5"/>
    </row>
    <row r="115" spans="5:6">
      <c r="E115" s="5"/>
      <c r="F115" s="5"/>
    </row>
    <row r="116" spans="5:6">
      <c r="E116" s="5"/>
      <c r="F116" s="5"/>
    </row>
    <row r="117" spans="5:6">
      <c r="E117" s="5"/>
      <c r="F117" s="5"/>
    </row>
    <row r="118" spans="5:6">
      <c r="E118" s="5"/>
      <c r="F118" s="5"/>
    </row>
    <row r="119" spans="5:6">
      <c r="E119" s="5"/>
      <c r="F119" s="5"/>
    </row>
    <row r="120" spans="5:6">
      <c r="E120" s="5"/>
      <c r="F120" s="5"/>
    </row>
    <row r="121" spans="5:6">
      <c r="E121" s="5"/>
      <c r="F121" s="5"/>
    </row>
    <row r="122" spans="5:6">
      <c r="E122" s="5"/>
      <c r="F122" s="5"/>
    </row>
    <row r="123" spans="5:6">
      <c r="E123" s="5"/>
      <c r="F123" s="5"/>
    </row>
    <row r="124" spans="5:6">
      <c r="E124" s="5"/>
      <c r="F124" s="5"/>
    </row>
    <row r="125" spans="5:6">
      <c r="E125" s="5"/>
      <c r="F125" s="5"/>
    </row>
    <row r="126" spans="5:6">
      <c r="E126" s="5"/>
      <c r="F126" s="5"/>
    </row>
    <row r="127" spans="5:6">
      <c r="E127" s="5"/>
      <c r="F127" s="5"/>
    </row>
    <row r="128" spans="5:6">
      <c r="E128" s="5"/>
      <c r="F128" s="5"/>
    </row>
    <row r="129" spans="5:6">
      <c r="E129" s="5"/>
      <c r="F129" s="5"/>
    </row>
    <row r="130" spans="5:6">
      <c r="E130" s="5"/>
      <c r="F130" s="5"/>
    </row>
    <row r="131" spans="5:6">
      <c r="E131" s="5"/>
      <c r="F131" s="5"/>
    </row>
    <row r="132" spans="5:6">
      <c r="E132" s="5"/>
      <c r="F132" s="5"/>
    </row>
    <row r="133" spans="5:6">
      <c r="E133" s="5"/>
      <c r="F133" s="5"/>
    </row>
    <row r="134" spans="5:6">
      <c r="E134" s="5"/>
      <c r="F134" s="5"/>
    </row>
    <row r="135" spans="5:6">
      <c r="E135" s="5"/>
      <c r="F135" s="5"/>
    </row>
    <row r="136" spans="5:6">
      <c r="E136" s="5"/>
      <c r="F136" s="5"/>
    </row>
    <row r="137" spans="5:6">
      <c r="E137" s="5"/>
      <c r="F137" s="5"/>
    </row>
    <row r="138" spans="5:6">
      <c r="E138" s="5"/>
      <c r="F138" s="5"/>
    </row>
    <row r="139" spans="5:6">
      <c r="E139" s="5"/>
      <c r="F139" s="5"/>
    </row>
    <row r="140" spans="5:6">
      <c r="E140" s="5"/>
      <c r="F140" s="5"/>
    </row>
    <row r="141" spans="5:6">
      <c r="E141" s="5"/>
      <c r="F141" s="5"/>
    </row>
    <row r="142" spans="5:6">
      <c r="E142" s="5"/>
      <c r="F142" s="5"/>
    </row>
    <row r="143" spans="5:6">
      <c r="E143" s="5"/>
      <c r="F143" s="5"/>
    </row>
    <row r="144" spans="5:6">
      <c r="E144" s="5"/>
      <c r="F144" s="5"/>
    </row>
    <row r="145" spans="5:6">
      <c r="E145" s="5"/>
      <c r="F145" s="5"/>
    </row>
    <row r="146" spans="5:6">
      <c r="E146" s="5"/>
      <c r="F146" s="5"/>
    </row>
    <row r="147" spans="5:6">
      <c r="E147" s="5"/>
      <c r="F147" s="5"/>
    </row>
    <row r="148" spans="5:6">
      <c r="E148" s="5"/>
      <c r="F148" s="5"/>
    </row>
    <row r="149" spans="5:6">
      <c r="E149" s="5"/>
      <c r="F149" s="5"/>
    </row>
    <row r="150" spans="5:6">
      <c r="E150" s="5"/>
      <c r="F150" s="5"/>
    </row>
    <row r="151" spans="5:6">
      <c r="E151" s="5"/>
      <c r="F151" s="5"/>
    </row>
    <row r="152" spans="5:6">
      <c r="E152" s="5"/>
      <c r="F152" s="5"/>
    </row>
    <row r="153" spans="5:6">
      <c r="E153" s="5"/>
      <c r="F153" s="5"/>
    </row>
    <row r="154" spans="5:6">
      <c r="E154" s="5"/>
      <c r="F154" s="5"/>
    </row>
    <row r="155" spans="5:6">
      <c r="E155" s="5"/>
      <c r="F155" s="5"/>
    </row>
    <row r="156" spans="5:6">
      <c r="E156" s="5"/>
      <c r="F156" s="5"/>
    </row>
    <row r="157" spans="5:6">
      <c r="E157" s="5"/>
      <c r="F157" s="5"/>
    </row>
    <row r="158" spans="5:6">
      <c r="E158" s="5"/>
      <c r="F158" s="5"/>
    </row>
    <row r="159" spans="5:6">
      <c r="E159" s="5"/>
      <c r="F159" s="5"/>
    </row>
    <row r="160" spans="5:6">
      <c r="E160" s="5"/>
      <c r="F160" s="5"/>
    </row>
    <row r="161" spans="5:6">
      <c r="E161" s="5"/>
      <c r="F161" s="5"/>
    </row>
    <row r="162" spans="5:6">
      <c r="E162" s="5"/>
      <c r="F162" s="5"/>
    </row>
    <row r="163" spans="5:6">
      <c r="E163" s="5"/>
      <c r="F163" s="5"/>
    </row>
    <row r="164" spans="5:6">
      <c r="E164" s="5"/>
      <c r="F164" s="5"/>
    </row>
    <row r="165" spans="5:6">
      <c r="E165" s="5"/>
      <c r="F165" s="5"/>
    </row>
    <row r="166" spans="5:6">
      <c r="E166" s="5"/>
      <c r="F166" s="5"/>
    </row>
    <row r="167" spans="5:6">
      <c r="E167" s="5"/>
      <c r="F167" s="5"/>
    </row>
    <row r="168" spans="5:6">
      <c r="E168" s="5"/>
      <c r="F168" s="5"/>
    </row>
    <row r="169" spans="5:6">
      <c r="E169" s="5"/>
      <c r="F169" s="5"/>
    </row>
    <row r="170" spans="5:6">
      <c r="E170" s="5"/>
      <c r="F170" s="5"/>
    </row>
    <row r="171" spans="5:6">
      <c r="E171" s="5"/>
      <c r="F171" s="5"/>
    </row>
    <row r="172" spans="5:6">
      <c r="E172" s="5"/>
      <c r="F172" s="5"/>
    </row>
    <row r="173" spans="5:6">
      <c r="E173" s="5"/>
      <c r="F173" s="5"/>
    </row>
    <row r="174" spans="5:6">
      <c r="E174" s="5"/>
      <c r="F174" s="5"/>
    </row>
    <row r="175" spans="5:6">
      <c r="E175" s="5"/>
      <c r="F175" s="5"/>
    </row>
    <row r="176" spans="5:6">
      <c r="E176" s="5"/>
      <c r="F176" s="5"/>
    </row>
    <row r="177" spans="5:6">
      <c r="E177" s="5"/>
      <c r="F177" s="5"/>
    </row>
    <row r="178" spans="5:6">
      <c r="E178" s="5"/>
      <c r="F178" s="5"/>
    </row>
    <row r="179" spans="5:6">
      <c r="E179" s="5"/>
      <c r="F179" s="5"/>
    </row>
    <row r="180" spans="5:6">
      <c r="E180" s="5"/>
      <c r="F180" s="5"/>
    </row>
    <row r="181" spans="5:6">
      <c r="E181" s="5"/>
      <c r="F181" s="5"/>
    </row>
    <row r="182" spans="5:6">
      <c r="E182" s="5"/>
      <c r="F182" s="5"/>
    </row>
    <row r="183" spans="5:6">
      <c r="E183" s="5"/>
      <c r="F183" s="5"/>
    </row>
    <row r="184" spans="5:6">
      <c r="E184" s="5"/>
      <c r="F184" s="5"/>
    </row>
    <row r="185" spans="5:6">
      <c r="E185" s="5"/>
      <c r="F185" s="5"/>
    </row>
    <row r="186" spans="5:6">
      <c r="E186" s="5"/>
      <c r="F186" s="5"/>
    </row>
    <row r="187" spans="5:6">
      <c r="E187" s="5"/>
      <c r="F187" s="5"/>
    </row>
    <row r="188" spans="5:6">
      <c r="E188" s="5"/>
      <c r="F188" s="5"/>
    </row>
    <row r="189" spans="5:6">
      <c r="E189" s="5"/>
      <c r="F189" s="5"/>
    </row>
    <row r="190" spans="5:6">
      <c r="E190" s="5"/>
      <c r="F190" s="5"/>
    </row>
    <row r="191" spans="5:6">
      <c r="E191" s="5"/>
      <c r="F191" s="5"/>
    </row>
    <row r="192" spans="5:6">
      <c r="E192" s="5"/>
      <c r="F192" s="5"/>
    </row>
    <row r="193" spans="5:6">
      <c r="E193" s="5"/>
      <c r="F193" s="5"/>
    </row>
    <row r="194" spans="5:6">
      <c r="E194" s="5"/>
      <c r="F194" s="5"/>
    </row>
    <row r="195" spans="5:6">
      <c r="E195" s="5"/>
      <c r="F195" s="5"/>
    </row>
    <row r="196" spans="5:6">
      <c r="E196" s="5"/>
      <c r="F196" s="5"/>
    </row>
    <row r="197" spans="5:6">
      <c r="E197" s="5"/>
      <c r="F197" s="5"/>
    </row>
    <row r="198" spans="5:6">
      <c r="E198" s="5"/>
      <c r="F198" s="5"/>
    </row>
    <row r="199" spans="5:6">
      <c r="E199" s="5"/>
      <c r="F199" s="5"/>
    </row>
    <row r="200" spans="5:6">
      <c r="E200" s="5"/>
      <c r="F200" s="5"/>
    </row>
    <row r="201" spans="5:6">
      <c r="E201" s="5"/>
      <c r="F201" s="5"/>
    </row>
    <row r="202" spans="5:6">
      <c r="E202" s="5"/>
      <c r="F202" s="5"/>
    </row>
    <row r="203" spans="5:6">
      <c r="E203" s="5"/>
      <c r="F203" s="5"/>
    </row>
    <row r="204" spans="5:6">
      <c r="E204" s="5"/>
      <c r="F204" s="5"/>
    </row>
    <row r="205" spans="5:6">
      <c r="E205" s="5"/>
      <c r="F205" s="5"/>
    </row>
    <row r="206" spans="5:6">
      <c r="E206" s="5"/>
      <c r="F206" s="5"/>
    </row>
    <row r="207" spans="5:6">
      <c r="E207" s="5"/>
      <c r="F207" s="5"/>
    </row>
    <row r="208" spans="5:6">
      <c r="E208" s="5"/>
      <c r="F208" s="5"/>
    </row>
    <row r="209" spans="5:6">
      <c r="E209" s="5"/>
      <c r="F209" s="5"/>
    </row>
    <row r="210" spans="5:6">
      <c r="E210" s="5"/>
      <c r="F210" s="5"/>
    </row>
    <row r="211" spans="5:6">
      <c r="E211" s="5"/>
      <c r="F211" s="5"/>
    </row>
    <row r="212" spans="5:6">
      <c r="E212" s="5"/>
      <c r="F212" s="5"/>
    </row>
    <row r="213" spans="5:6">
      <c r="E213" s="5"/>
      <c r="F213" s="5"/>
    </row>
    <row r="214" spans="5:6">
      <c r="E214" s="5"/>
      <c r="F214" s="5"/>
    </row>
    <row r="215" spans="5:6">
      <c r="E215" s="5"/>
      <c r="F215" s="5"/>
    </row>
    <row r="216" spans="5:6">
      <c r="E216" s="5"/>
      <c r="F216" s="5"/>
    </row>
    <row r="217" spans="5:6">
      <c r="E217" s="5"/>
      <c r="F217" s="5"/>
    </row>
    <row r="218" spans="5:6">
      <c r="E218" s="5"/>
      <c r="F218" s="5"/>
    </row>
    <row r="219" spans="5:6">
      <c r="E219" s="5"/>
      <c r="F219" s="5"/>
    </row>
    <row r="220" spans="5:6">
      <c r="E220" s="5"/>
      <c r="F220" s="5"/>
    </row>
    <row r="221" spans="5:6">
      <c r="E221" s="5"/>
      <c r="F221" s="5"/>
    </row>
    <row r="222" spans="5:6">
      <c r="E222" s="5"/>
      <c r="F222" s="5"/>
    </row>
    <row r="223" spans="5:6">
      <c r="E223" s="5"/>
      <c r="F223" s="5"/>
    </row>
    <row r="224" spans="5:6">
      <c r="E224" s="5"/>
      <c r="F224" s="5"/>
    </row>
    <row r="225" spans="5:6">
      <c r="E225" s="5"/>
      <c r="F225" s="5"/>
    </row>
    <row r="226" spans="5:6">
      <c r="E226" s="5"/>
      <c r="F226" s="5"/>
    </row>
    <row r="227" spans="5:6">
      <c r="E227" s="5"/>
      <c r="F227" s="5"/>
    </row>
    <row r="228" spans="5:6">
      <c r="E228" s="5"/>
      <c r="F228" s="5"/>
    </row>
    <row r="229" spans="5:6">
      <c r="E229" s="5"/>
      <c r="F229" s="5"/>
    </row>
    <row r="230" spans="5:6">
      <c r="E230" s="5"/>
      <c r="F230" s="5"/>
    </row>
    <row r="231" spans="5:6">
      <c r="E231" s="5"/>
      <c r="F231" s="5"/>
    </row>
    <row r="232" spans="5:6">
      <c r="E232" s="5"/>
      <c r="F232" s="5"/>
    </row>
    <row r="233" spans="5:6">
      <c r="E233" s="5"/>
      <c r="F233" s="5"/>
    </row>
    <row r="234" spans="5:6">
      <c r="E234" s="5"/>
      <c r="F234" s="5"/>
    </row>
    <row r="235" spans="5:6">
      <c r="E235" s="5"/>
      <c r="F235" s="5"/>
    </row>
    <row r="236" spans="5:6">
      <c r="E236" s="5"/>
      <c r="F236" s="5"/>
    </row>
    <row r="237" spans="5:6">
      <c r="E237" s="5"/>
      <c r="F237" s="5"/>
    </row>
    <row r="238" spans="5:6">
      <c r="E238" s="5"/>
      <c r="F238" s="5"/>
    </row>
    <row r="239" spans="5:6">
      <c r="E239" s="5"/>
      <c r="F239" s="5"/>
    </row>
    <row r="240" spans="5:6">
      <c r="E240" s="5"/>
      <c r="F240" s="5"/>
    </row>
    <row r="241" spans="5:6">
      <c r="E241" s="5"/>
      <c r="F241" s="5"/>
    </row>
    <row r="242" spans="5:6">
      <c r="E242" s="5"/>
      <c r="F242" s="5"/>
    </row>
    <row r="243" spans="5:6">
      <c r="E243" s="5"/>
      <c r="F243" s="5"/>
    </row>
    <row r="244" spans="5:6">
      <c r="E244" s="5"/>
      <c r="F244" s="5"/>
    </row>
    <row r="245" spans="5:6">
      <c r="E245" s="5"/>
      <c r="F245" s="5"/>
    </row>
    <row r="246" spans="5:6">
      <c r="E246" s="5"/>
      <c r="F246" s="5"/>
    </row>
    <row r="247" spans="5:6">
      <c r="E247" s="5"/>
      <c r="F247" s="5"/>
    </row>
    <row r="248" spans="5:6">
      <c r="E248" s="5"/>
      <c r="F248" s="5"/>
    </row>
    <row r="249" spans="5:6">
      <c r="E249" s="5"/>
      <c r="F249" s="5"/>
    </row>
    <row r="250" spans="5:6">
      <c r="E250" s="5"/>
      <c r="F250" s="5"/>
    </row>
    <row r="251" spans="5:6">
      <c r="E251" s="5"/>
      <c r="F251" s="5"/>
    </row>
    <row r="252" spans="5:6">
      <c r="E252" s="5"/>
      <c r="F252" s="5"/>
    </row>
    <row r="253" spans="5:6">
      <c r="E253" s="5"/>
      <c r="F253" s="5"/>
    </row>
    <row r="254" spans="5:6">
      <c r="E254" s="5"/>
      <c r="F254" s="5"/>
    </row>
    <row r="255" spans="5:6">
      <c r="E255" s="5"/>
      <c r="F255" s="5"/>
    </row>
    <row r="256" spans="5:6">
      <c r="E256" s="5"/>
      <c r="F256" s="5"/>
    </row>
    <row r="257" spans="5:6">
      <c r="E257" s="5"/>
      <c r="F257" s="5"/>
    </row>
    <row r="258" spans="5:6">
      <c r="E258" s="5"/>
      <c r="F258" s="5"/>
    </row>
    <row r="259" spans="5:6">
      <c r="E259" s="5"/>
      <c r="F259" s="5"/>
    </row>
    <row r="260" spans="5:6">
      <c r="E260" s="5"/>
      <c r="F260" s="5"/>
    </row>
    <row r="261" spans="5:6">
      <c r="E261" s="5"/>
      <c r="F261" s="5"/>
    </row>
    <row r="262" spans="5:6">
      <c r="E262" s="5"/>
      <c r="F262" s="5"/>
    </row>
    <row r="263" spans="5:6">
      <c r="E263" s="5"/>
      <c r="F263" s="5"/>
    </row>
    <row r="264" spans="5:6">
      <c r="E264" s="5"/>
      <c r="F264" s="5"/>
    </row>
    <row r="265" spans="5:6">
      <c r="E265" s="5"/>
      <c r="F265" s="5"/>
    </row>
    <row r="266" spans="5:6">
      <c r="E266" s="5"/>
      <c r="F266" s="5"/>
    </row>
    <row r="267" spans="5:6">
      <c r="E267" s="5"/>
      <c r="F267" s="5"/>
    </row>
    <row r="268" spans="5:6">
      <c r="E268" s="5"/>
      <c r="F268" s="5"/>
    </row>
    <row r="269" spans="5:6">
      <c r="E269" s="5"/>
      <c r="F269" s="5"/>
    </row>
    <row r="270" spans="5:6">
      <c r="E270" s="5"/>
      <c r="F270" s="5"/>
    </row>
    <row r="271" spans="5:6">
      <c r="E271" s="5"/>
      <c r="F271" s="5"/>
    </row>
    <row r="272" spans="5:6">
      <c r="E272" s="5"/>
      <c r="F272" s="5"/>
    </row>
    <row r="273" spans="5:6">
      <c r="E273" s="5"/>
      <c r="F273" s="5"/>
    </row>
    <row r="274" spans="5:6">
      <c r="E274" s="5"/>
      <c r="F274" s="5"/>
    </row>
    <row r="275" spans="5:6">
      <c r="E275" s="5"/>
      <c r="F275" s="5"/>
    </row>
    <row r="276" spans="5:6">
      <c r="E276" s="5"/>
      <c r="F276" s="5"/>
    </row>
    <row r="277" spans="5:6">
      <c r="E277" s="5"/>
      <c r="F277" s="5"/>
    </row>
    <row r="278" spans="5:6">
      <c r="E278" s="5"/>
      <c r="F278" s="5"/>
    </row>
    <row r="279" spans="5:6">
      <c r="E279" s="5"/>
      <c r="F279" s="5"/>
    </row>
    <row r="280" spans="5:6">
      <c r="E280" s="5"/>
      <c r="F280" s="5"/>
    </row>
    <row r="281" spans="5:6">
      <c r="E281" s="5"/>
      <c r="F281" s="5"/>
    </row>
    <row r="282" spans="5:6">
      <c r="E282" s="5"/>
      <c r="F282" s="5"/>
    </row>
    <row r="283" spans="5:6">
      <c r="E283" s="5"/>
      <c r="F283" s="5"/>
    </row>
    <row r="284" spans="5:6">
      <c r="E284" s="5"/>
      <c r="F284" s="5"/>
    </row>
    <row r="285" spans="5:6">
      <c r="E285" s="5"/>
      <c r="F285" s="5"/>
    </row>
    <row r="286" spans="5:6">
      <c r="E286" s="5"/>
      <c r="F286" s="5"/>
    </row>
    <row r="287" spans="5:6">
      <c r="E287" s="5"/>
      <c r="F287" s="5"/>
    </row>
    <row r="288" spans="5:6">
      <c r="E288" s="5"/>
      <c r="F288" s="5"/>
    </row>
    <row r="289" spans="5:6">
      <c r="E289" s="5"/>
      <c r="F289" s="5"/>
    </row>
    <row r="290" spans="5:6">
      <c r="E290" s="5"/>
      <c r="F290" s="5"/>
    </row>
    <row r="291" spans="5:6">
      <c r="E291" s="5"/>
      <c r="F291" s="5"/>
    </row>
    <row r="292" spans="5:6">
      <c r="E292" s="5"/>
      <c r="F292" s="5"/>
    </row>
    <row r="293" spans="5:6">
      <c r="E293" s="5"/>
      <c r="F293" s="5"/>
    </row>
    <row r="294" spans="5:6">
      <c r="E294" s="5"/>
      <c r="F294" s="5"/>
    </row>
    <row r="295" spans="5:6">
      <c r="E295" s="5"/>
      <c r="F295" s="5"/>
    </row>
    <row r="296" spans="5:6">
      <c r="E296" s="5"/>
      <c r="F296" s="5"/>
    </row>
    <row r="297" spans="5:6">
      <c r="E297" s="5"/>
      <c r="F297" s="5"/>
    </row>
    <row r="298" spans="5:6">
      <c r="E298" s="5"/>
      <c r="F298" s="5"/>
    </row>
    <row r="299" spans="5:6">
      <c r="E299" s="5"/>
      <c r="F299" s="5"/>
    </row>
    <row r="300" spans="5:6">
      <c r="E300" s="5"/>
      <c r="F300" s="5"/>
    </row>
    <row r="301" spans="5:6">
      <c r="E301" s="5"/>
      <c r="F301" s="5"/>
    </row>
    <row r="302" spans="5:6">
      <c r="E302" s="5"/>
      <c r="F302" s="5"/>
    </row>
    <row r="303" spans="5:6">
      <c r="E303" s="5"/>
      <c r="F303" s="5"/>
    </row>
    <row r="304" spans="5:6">
      <c r="E304" s="5"/>
      <c r="F304" s="5"/>
    </row>
    <row r="305" spans="5:6">
      <c r="E305" s="5"/>
      <c r="F305" s="5"/>
    </row>
    <row r="306" spans="5:6">
      <c r="E306" s="5"/>
      <c r="F306" s="5"/>
    </row>
    <row r="307" spans="5:6">
      <c r="E307" s="5"/>
      <c r="F307" s="5"/>
    </row>
    <row r="308" spans="5:6">
      <c r="E308" s="5"/>
      <c r="F308" s="5"/>
    </row>
    <row r="309" spans="5:6">
      <c r="E309" s="5"/>
      <c r="F309" s="5"/>
    </row>
    <row r="310" spans="5:6">
      <c r="E310" s="5"/>
      <c r="F310" s="5"/>
    </row>
    <row r="311" spans="5:6">
      <c r="E311" s="5"/>
      <c r="F311" s="5"/>
    </row>
    <row r="312" spans="5:6">
      <c r="E312" s="5"/>
      <c r="F312" s="5"/>
    </row>
    <row r="313" spans="5:6">
      <c r="E313" s="5"/>
      <c r="F313" s="5"/>
    </row>
    <row r="314" spans="5:6">
      <c r="E314" s="5"/>
      <c r="F314" s="5"/>
    </row>
    <row r="315" spans="5:6">
      <c r="E315" s="5"/>
      <c r="F315" s="5"/>
    </row>
    <row r="316" spans="5:6">
      <c r="E316" s="5"/>
      <c r="F316" s="5"/>
    </row>
    <row r="317" spans="5:6">
      <c r="E317" s="5"/>
      <c r="F317" s="5"/>
    </row>
    <row r="318" spans="5:6">
      <c r="E318" s="5"/>
      <c r="F318" s="5"/>
    </row>
    <row r="319" spans="5:6">
      <c r="E319" s="5"/>
      <c r="F319" s="5"/>
    </row>
    <row r="320" spans="5:6">
      <c r="E320" s="5"/>
      <c r="F320" s="5"/>
    </row>
    <row r="321" spans="5:6">
      <c r="E321" s="5"/>
      <c r="F321" s="5"/>
    </row>
    <row r="322" spans="5:6">
      <c r="E322" s="5"/>
      <c r="F322" s="5"/>
    </row>
    <row r="323" spans="5:6">
      <c r="E323" s="5"/>
      <c r="F323" s="5"/>
    </row>
    <row r="324" spans="5:6">
      <c r="E324" s="5"/>
      <c r="F324" s="5"/>
    </row>
    <row r="325" spans="5:6">
      <c r="E325" s="5"/>
      <c r="F325" s="5"/>
    </row>
    <row r="326" spans="5:6">
      <c r="E326" s="5"/>
      <c r="F326" s="5"/>
    </row>
    <row r="327" spans="5:6">
      <c r="E327" s="5"/>
      <c r="F327" s="5"/>
    </row>
  </sheetData>
  <mergeCells count="4">
    <mergeCell ref="A7:F7"/>
    <mergeCell ref="A4:F4"/>
    <mergeCell ref="A5:F5"/>
    <mergeCell ref="A6:F6"/>
  </mergeCells>
  <phoneticPr fontId="5" type="noConversion"/>
  <pageMargins left="0.75" right="0.75" top="1" bottom="1" header="0.5" footer="0.5"/>
  <pageSetup scale="73"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rgb="FFFF0000"/>
    <pageSetUpPr fitToPage="1"/>
  </sheetPr>
  <dimension ref="A1:H284"/>
  <sheetViews>
    <sheetView workbookViewId="0">
      <selection activeCell="A4" sqref="A4:F4"/>
    </sheetView>
  </sheetViews>
  <sheetFormatPr defaultRowHeight="12.75"/>
  <cols>
    <col min="1" max="1" width="4.42578125" bestFit="1" customWidth="1"/>
    <col min="2" max="2" width="41.5703125" bestFit="1" customWidth="1"/>
    <col min="3" max="3" width="8.85546875" style="14" bestFit="1" customWidth="1"/>
    <col min="4" max="4" width="11" style="14" bestFit="1" customWidth="1"/>
    <col min="5" max="5" width="11.42578125" bestFit="1" customWidth="1"/>
    <col min="6" max="6" width="18.7109375" customWidth="1"/>
  </cols>
  <sheetData>
    <row r="1" spans="1:8">
      <c r="F1" t="str">
        <f>'Title Input and Macros'!B7</f>
        <v>Docket No. RP16-299-000</v>
      </c>
    </row>
    <row r="2" spans="1:8">
      <c r="F2" t="s">
        <v>413</v>
      </c>
    </row>
    <row r="4" spans="1:8">
      <c r="A4" s="929" t="str">
        <f>'Sched H-1 (2)(b)'!A4:F4</f>
        <v>Tuscarora Gas Transmission Company</v>
      </c>
      <c r="B4" s="927"/>
      <c r="C4" s="927"/>
      <c r="D4" s="927"/>
      <c r="E4" s="927"/>
      <c r="F4" s="927"/>
    </row>
    <row r="5" spans="1:8">
      <c r="A5" s="927" t="s">
        <v>414</v>
      </c>
      <c r="B5" s="927"/>
      <c r="C5" s="927"/>
      <c r="D5" s="927"/>
      <c r="E5" s="927"/>
      <c r="F5" s="927"/>
    </row>
    <row r="6" spans="1:8">
      <c r="A6" s="929" t="str">
        <f>'Title Input and Macros'!B9</f>
        <v>For the Twelve Months Ended December 31, 2015, As Adjusted</v>
      </c>
      <c r="B6" s="927"/>
      <c r="C6" s="927"/>
      <c r="D6" s="927"/>
      <c r="E6" s="927"/>
      <c r="F6" s="927"/>
    </row>
    <row r="7" spans="1:8">
      <c r="A7" s="929"/>
      <c r="B7" s="929"/>
      <c r="C7" s="929"/>
      <c r="D7" s="929"/>
      <c r="E7" s="929"/>
      <c r="F7" s="929"/>
    </row>
    <row r="8" spans="1:8" s="2" customFormat="1">
      <c r="C8" s="14"/>
      <c r="D8" s="14"/>
    </row>
    <row r="9" spans="1:8">
      <c r="A9" s="2"/>
      <c r="B9" s="139" t="s">
        <v>780</v>
      </c>
      <c r="E9" s="2"/>
      <c r="F9" s="2"/>
    </row>
    <row r="10" spans="1:8">
      <c r="A10" s="3"/>
      <c r="B10" s="3"/>
      <c r="C10" s="15"/>
      <c r="D10" s="15"/>
      <c r="E10" s="3"/>
      <c r="F10" s="3"/>
    </row>
    <row r="11" spans="1:8">
      <c r="B11" s="2"/>
      <c r="D11" s="2"/>
      <c r="E11" s="2"/>
      <c r="F11" s="2"/>
    </row>
    <row r="12" spans="1:8">
      <c r="E12" s="2"/>
      <c r="F12" s="2"/>
    </row>
    <row r="13" spans="1:8">
      <c r="B13" s="138"/>
      <c r="C13" s="134"/>
      <c r="D13" s="293"/>
      <c r="E13" s="293"/>
      <c r="F13" s="128"/>
      <c r="G13" s="73"/>
      <c r="H13" s="236"/>
    </row>
    <row r="14" spans="1:8">
      <c r="B14" s="138"/>
      <c r="C14" s="134"/>
      <c r="D14" s="293"/>
      <c r="E14" s="293"/>
      <c r="F14" s="128"/>
      <c r="G14" s="73"/>
      <c r="H14" s="236"/>
    </row>
    <row r="15" spans="1:8">
      <c r="B15" s="138"/>
      <c r="D15" s="293"/>
      <c r="E15" s="293"/>
      <c r="F15" s="128"/>
      <c r="H15" s="236"/>
    </row>
    <row r="16" spans="1:8">
      <c r="B16" s="138"/>
      <c r="D16" s="293"/>
      <c r="E16" s="293"/>
      <c r="F16" s="128"/>
      <c r="H16" s="236"/>
    </row>
    <row r="17" spans="2:8">
      <c r="B17" s="138"/>
      <c r="D17" s="293"/>
      <c r="E17" s="293"/>
      <c r="F17" s="128"/>
      <c r="H17" s="236"/>
    </row>
    <row r="18" spans="2:8">
      <c r="B18" s="138"/>
      <c r="D18" s="293"/>
      <c r="E18" s="293"/>
      <c r="F18" s="128"/>
      <c r="H18" s="236"/>
    </row>
    <row r="19" spans="2:8">
      <c r="B19" s="138"/>
      <c r="D19" s="293"/>
      <c r="E19" s="293"/>
      <c r="F19" s="128"/>
      <c r="H19" s="236"/>
    </row>
    <row r="20" spans="2:8">
      <c r="B20" s="138"/>
      <c r="D20" s="293"/>
      <c r="E20" s="293"/>
      <c r="F20" s="128"/>
      <c r="H20" s="236"/>
    </row>
    <row r="21" spans="2:8">
      <c r="B21" s="138"/>
      <c r="D21" s="293"/>
      <c r="E21" s="293"/>
      <c r="F21" s="128"/>
      <c r="H21" s="236"/>
    </row>
    <row r="22" spans="2:8">
      <c r="B22" s="138"/>
      <c r="D22" s="293"/>
      <c r="E22" s="293"/>
      <c r="F22" s="128"/>
      <c r="H22" s="236"/>
    </row>
    <row r="23" spans="2:8">
      <c r="B23" s="138"/>
      <c r="D23" s="270"/>
      <c r="E23" s="270"/>
      <c r="F23" s="128"/>
      <c r="H23" s="236"/>
    </row>
    <row r="24" spans="2:8">
      <c r="B24" s="138"/>
      <c r="D24" s="270"/>
      <c r="E24" s="270"/>
      <c r="F24" s="128"/>
      <c r="H24" s="236"/>
    </row>
    <row r="25" spans="2:8">
      <c r="B25" s="131"/>
      <c r="D25" s="133"/>
      <c r="E25" s="133"/>
      <c r="F25" s="133"/>
    </row>
    <row r="26" spans="2:8">
      <c r="D26" s="70"/>
      <c r="E26" s="68"/>
      <c r="F26" s="68"/>
    </row>
    <row r="27" spans="2:8">
      <c r="D27" s="70"/>
      <c r="E27" s="68"/>
      <c r="F27" s="68"/>
    </row>
    <row r="28" spans="2:8">
      <c r="E28" s="5"/>
      <c r="F28" s="68"/>
    </row>
    <row r="29" spans="2:8">
      <c r="E29" s="5"/>
      <c r="F29" s="5"/>
    </row>
    <row r="30" spans="2:8">
      <c r="E30" s="5"/>
      <c r="F30" s="5"/>
    </row>
    <row r="31" spans="2:8">
      <c r="E31" s="5"/>
      <c r="F31" s="5"/>
    </row>
    <row r="32" spans="2:8">
      <c r="E32" s="5"/>
      <c r="F32" s="5"/>
    </row>
    <row r="33" spans="5:6">
      <c r="E33" s="5"/>
      <c r="F33" s="5"/>
    </row>
    <row r="34" spans="5:6">
      <c r="E34" s="5"/>
      <c r="F34" s="5"/>
    </row>
    <row r="35" spans="5:6">
      <c r="E35" s="5"/>
      <c r="F35" s="5"/>
    </row>
    <row r="36" spans="5:6">
      <c r="E36" s="5"/>
      <c r="F36" s="5"/>
    </row>
    <row r="37" spans="5:6">
      <c r="E37" s="5"/>
      <c r="F37" s="5"/>
    </row>
    <row r="38" spans="5:6">
      <c r="E38" s="5"/>
      <c r="F38" s="5"/>
    </row>
    <row r="39" spans="5:6">
      <c r="E39" s="5"/>
      <c r="F39" s="5"/>
    </row>
    <row r="40" spans="5:6">
      <c r="E40" s="5"/>
      <c r="F40" s="5"/>
    </row>
    <row r="41" spans="5:6">
      <c r="E41" s="5"/>
      <c r="F41" s="5"/>
    </row>
    <row r="42" spans="5:6">
      <c r="E42" s="5"/>
      <c r="F42" s="5"/>
    </row>
    <row r="43" spans="5:6">
      <c r="E43" s="5"/>
      <c r="F43" s="5"/>
    </row>
    <row r="44" spans="5:6">
      <c r="E44" s="5"/>
      <c r="F44" s="5"/>
    </row>
    <row r="45" spans="5:6">
      <c r="E45" s="5"/>
      <c r="F45" s="5"/>
    </row>
    <row r="46" spans="5:6">
      <c r="E46" s="5"/>
      <c r="F46" s="5"/>
    </row>
    <row r="47" spans="5:6">
      <c r="E47" s="5"/>
      <c r="F47" s="5"/>
    </row>
    <row r="48" spans="5:6">
      <c r="E48" s="5"/>
      <c r="F48" s="5"/>
    </row>
    <row r="49" spans="5:6">
      <c r="E49" s="5"/>
      <c r="F49" s="5"/>
    </row>
    <row r="50" spans="5:6">
      <c r="E50" s="5"/>
      <c r="F50" s="5"/>
    </row>
    <row r="51" spans="5:6">
      <c r="E51" s="5"/>
      <c r="F51" s="5"/>
    </row>
    <row r="52" spans="5:6">
      <c r="E52" s="5"/>
      <c r="F52" s="5"/>
    </row>
    <row r="53" spans="5:6">
      <c r="E53" s="5"/>
      <c r="F53" s="5"/>
    </row>
    <row r="54" spans="5:6">
      <c r="E54" s="5"/>
      <c r="F54" s="5"/>
    </row>
    <row r="55" spans="5:6">
      <c r="E55" s="5"/>
      <c r="F55" s="5"/>
    </row>
    <row r="56" spans="5:6">
      <c r="E56" s="5"/>
      <c r="F56" s="5"/>
    </row>
    <row r="57" spans="5:6">
      <c r="E57" s="5"/>
      <c r="F57" s="5"/>
    </row>
    <row r="58" spans="5:6">
      <c r="E58" s="5"/>
      <c r="F58" s="5"/>
    </row>
    <row r="59" spans="5:6">
      <c r="E59" s="5"/>
      <c r="F59" s="5"/>
    </row>
    <row r="60" spans="5:6">
      <c r="E60" s="5"/>
      <c r="F60" s="5"/>
    </row>
    <row r="61" spans="5:6">
      <c r="E61" s="5"/>
      <c r="F61" s="5"/>
    </row>
    <row r="62" spans="5:6">
      <c r="E62" s="5"/>
      <c r="F62" s="5"/>
    </row>
    <row r="63" spans="5:6">
      <c r="E63" s="5"/>
      <c r="F63" s="5"/>
    </row>
    <row r="64" spans="5:6">
      <c r="E64" s="5"/>
      <c r="F64" s="5"/>
    </row>
    <row r="65" spans="5:6">
      <c r="E65" s="5"/>
      <c r="F65" s="5"/>
    </row>
    <row r="66" spans="5:6">
      <c r="E66" s="5"/>
      <c r="F66" s="5"/>
    </row>
    <row r="67" spans="5:6">
      <c r="E67" s="5"/>
      <c r="F67" s="5"/>
    </row>
    <row r="68" spans="5:6">
      <c r="E68" s="5"/>
      <c r="F68" s="5"/>
    </row>
    <row r="69" spans="5:6">
      <c r="E69" s="5"/>
      <c r="F69" s="5"/>
    </row>
    <row r="70" spans="5:6">
      <c r="E70" s="5"/>
      <c r="F70" s="5"/>
    </row>
    <row r="71" spans="5:6">
      <c r="E71" s="5"/>
      <c r="F71" s="5"/>
    </row>
    <row r="72" spans="5:6">
      <c r="E72" s="5"/>
      <c r="F72" s="5"/>
    </row>
    <row r="73" spans="5:6">
      <c r="E73" s="5"/>
      <c r="F73" s="5"/>
    </row>
    <row r="74" spans="5:6">
      <c r="E74" s="5"/>
      <c r="F74" s="5"/>
    </row>
    <row r="75" spans="5:6">
      <c r="E75" s="5"/>
      <c r="F75" s="5"/>
    </row>
    <row r="76" spans="5:6">
      <c r="E76" s="5"/>
      <c r="F76" s="5"/>
    </row>
    <row r="77" spans="5:6">
      <c r="E77" s="5"/>
      <c r="F77" s="5"/>
    </row>
    <row r="78" spans="5:6">
      <c r="E78" s="5"/>
      <c r="F78" s="5"/>
    </row>
    <row r="79" spans="5:6">
      <c r="E79" s="5"/>
      <c r="F79" s="5"/>
    </row>
    <row r="80" spans="5:6">
      <c r="E80" s="5"/>
      <c r="F80" s="5"/>
    </row>
    <row r="81" spans="5:6">
      <c r="E81" s="5"/>
      <c r="F81" s="5"/>
    </row>
    <row r="82" spans="5:6">
      <c r="E82" s="5"/>
      <c r="F82" s="5"/>
    </row>
    <row r="83" spans="5:6">
      <c r="E83" s="5"/>
      <c r="F83" s="5"/>
    </row>
    <row r="84" spans="5:6">
      <c r="E84" s="5"/>
      <c r="F84" s="5"/>
    </row>
    <row r="85" spans="5:6">
      <c r="E85" s="5"/>
      <c r="F85" s="5"/>
    </row>
    <row r="86" spans="5:6">
      <c r="E86" s="5"/>
      <c r="F86" s="5"/>
    </row>
    <row r="87" spans="5:6">
      <c r="E87" s="5"/>
      <c r="F87" s="5"/>
    </row>
    <row r="88" spans="5:6">
      <c r="E88" s="5"/>
      <c r="F88" s="5"/>
    </row>
    <row r="89" spans="5:6">
      <c r="E89" s="5"/>
      <c r="F89" s="5"/>
    </row>
    <row r="90" spans="5:6">
      <c r="E90" s="5"/>
      <c r="F90" s="5"/>
    </row>
    <row r="91" spans="5:6">
      <c r="E91" s="5"/>
      <c r="F91" s="5"/>
    </row>
    <row r="92" spans="5:6">
      <c r="E92" s="5"/>
      <c r="F92" s="5"/>
    </row>
    <row r="93" spans="5:6">
      <c r="E93" s="5"/>
      <c r="F93" s="5"/>
    </row>
    <row r="94" spans="5:6">
      <c r="E94" s="5"/>
      <c r="F94" s="5"/>
    </row>
    <row r="95" spans="5:6">
      <c r="E95" s="5"/>
      <c r="F95" s="5"/>
    </row>
    <row r="96" spans="5:6">
      <c r="E96" s="5"/>
      <c r="F96" s="5"/>
    </row>
    <row r="97" spans="5:6">
      <c r="E97" s="5"/>
      <c r="F97" s="5"/>
    </row>
    <row r="98" spans="5:6">
      <c r="E98" s="5"/>
      <c r="F98" s="5"/>
    </row>
    <row r="99" spans="5:6">
      <c r="E99" s="5"/>
      <c r="F99" s="5"/>
    </row>
    <row r="100" spans="5:6">
      <c r="E100" s="5"/>
      <c r="F100" s="5"/>
    </row>
    <row r="101" spans="5:6">
      <c r="E101" s="5"/>
      <c r="F101" s="5"/>
    </row>
    <row r="102" spans="5:6">
      <c r="E102" s="5"/>
      <c r="F102" s="5"/>
    </row>
    <row r="103" spans="5:6">
      <c r="E103" s="5"/>
      <c r="F103" s="5"/>
    </row>
    <row r="104" spans="5:6">
      <c r="E104" s="5"/>
      <c r="F104" s="5"/>
    </row>
    <row r="105" spans="5:6">
      <c r="E105" s="5"/>
      <c r="F105" s="5"/>
    </row>
    <row r="106" spans="5:6">
      <c r="E106" s="5"/>
      <c r="F106" s="5"/>
    </row>
    <row r="107" spans="5:6">
      <c r="E107" s="5"/>
      <c r="F107" s="5"/>
    </row>
    <row r="108" spans="5:6">
      <c r="E108" s="5"/>
      <c r="F108" s="5"/>
    </row>
    <row r="109" spans="5:6">
      <c r="E109" s="5"/>
      <c r="F109" s="5"/>
    </row>
    <row r="110" spans="5:6">
      <c r="E110" s="5"/>
      <c r="F110" s="5"/>
    </row>
    <row r="111" spans="5:6">
      <c r="E111" s="5"/>
      <c r="F111" s="5"/>
    </row>
    <row r="112" spans="5:6">
      <c r="E112" s="5"/>
      <c r="F112" s="5"/>
    </row>
    <row r="113" spans="5:6">
      <c r="E113" s="5"/>
      <c r="F113" s="5"/>
    </row>
    <row r="114" spans="5:6">
      <c r="E114" s="5"/>
      <c r="F114" s="5"/>
    </row>
    <row r="115" spans="5:6">
      <c r="E115" s="5"/>
      <c r="F115" s="5"/>
    </row>
    <row r="116" spans="5:6">
      <c r="E116" s="5"/>
      <c r="F116" s="5"/>
    </row>
    <row r="117" spans="5:6">
      <c r="E117" s="5"/>
      <c r="F117" s="5"/>
    </row>
    <row r="118" spans="5:6">
      <c r="E118" s="5"/>
      <c r="F118" s="5"/>
    </row>
    <row r="119" spans="5:6">
      <c r="E119" s="5"/>
      <c r="F119" s="5"/>
    </row>
    <row r="120" spans="5:6">
      <c r="E120" s="5"/>
      <c r="F120" s="5"/>
    </row>
    <row r="121" spans="5:6">
      <c r="E121" s="5"/>
      <c r="F121" s="5"/>
    </row>
    <row r="122" spans="5:6">
      <c r="E122" s="5"/>
      <c r="F122" s="5"/>
    </row>
    <row r="123" spans="5:6">
      <c r="E123" s="5"/>
      <c r="F123" s="5"/>
    </row>
    <row r="124" spans="5:6">
      <c r="E124" s="5"/>
      <c r="F124" s="5"/>
    </row>
    <row r="125" spans="5:6">
      <c r="E125" s="5"/>
      <c r="F125" s="5"/>
    </row>
    <row r="126" spans="5:6">
      <c r="E126" s="5"/>
      <c r="F126" s="5"/>
    </row>
    <row r="127" spans="5:6">
      <c r="E127" s="5"/>
      <c r="F127" s="5"/>
    </row>
    <row r="128" spans="5:6">
      <c r="E128" s="5"/>
      <c r="F128" s="5"/>
    </row>
    <row r="129" spans="5:6">
      <c r="E129" s="5"/>
      <c r="F129" s="5"/>
    </row>
    <row r="130" spans="5:6">
      <c r="E130" s="5"/>
      <c r="F130" s="5"/>
    </row>
    <row r="131" spans="5:6">
      <c r="E131" s="5"/>
      <c r="F131" s="5"/>
    </row>
    <row r="132" spans="5:6">
      <c r="E132" s="5"/>
      <c r="F132" s="5"/>
    </row>
    <row r="133" spans="5:6">
      <c r="E133" s="5"/>
      <c r="F133" s="5"/>
    </row>
    <row r="134" spans="5:6">
      <c r="E134" s="5"/>
      <c r="F134" s="5"/>
    </row>
    <row r="135" spans="5:6">
      <c r="E135" s="5"/>
      <c r="F135" s="5"/>
    </row>
    <row r="136" spans="5:6">
      <c r="E136" s="5"/>
      <c r="F136" s="5"/>
    </row>
    <row r="137" spans="5:6">
      <c r="E137" s="5"/>
      <c r="F137" s="5"/>
    </row>
    <row r="138" spans="5:6">
      <c r="E138" s="5"/>
      <c r="F138" s="5"/>
    </row>
    <row r="139" spans="5:6">
      <c r="E139" s="5"/>
      <c r="F139" s="5"/>
    </row>
    <row r="140" spans="5:6">
      <c r="E140" s="5"/>
      <c r="F140" s="5"/>
    </row>
    <row r="141" spans="5:6">
      <c r="E141" s="5"/>
      <c r="F141" s="5"/>
    </row>
    <row r="142" spans="5:6">
      <c r="E142" s="5"/>
      <c r="F142" s="5"/>
    </row>
    <row r="143" spans="5:6">
      <c r="E143" s="5"/>
      <c r="F143" s="5"/>
    </row>
    <row r="144" spans="5:6">
      <c r="E144" s="5"/>
      <c r="F144" s="5"/>
    </row>
    <row r="145" spans="5:6">
      <c r="E145" s="5"/>
      <c r="F145" s="5"/>
    </row>
    <row r="146" spans="5:6">
      <c r="E146" s="5"/>
      <c r="F146" s="5"/>
    </row>
    <row r="147" spans="5:6">
      <c r="E147" s="5"/>
      <c r="F147" s="5"/>
    </row>
    <row r="148" spans="5:6">
      <c r="E148" s="5"/>
      <c r="F148" s="5"/>
    </row>
    <row r="149" spans="5:6">
      <c r="E149" s="5"/>
      <c r="F149" s="5"/>
    </row>
    <row r="150" spans="5:6">
      <c r="E150" s="5"/>
      <c r="F150" s="5"/>
    </row>
    <row r="151" spans="5:6">
      <c r="E151" s="5"/>
      <c r="F151" s="5"/>
    </row>
    <row r="152" spans="5:6">
      <c r="E152" s="5"/>
      <c r="F152" s="5"/>
    </row>
    <row r="153" spans="5:6">
      <c r="E153" s="5"/>
      <c r="F153" s="5"/>
    </row>
    <row r="154" spans="5:6">
      <c r="E154" s="5"/>
      <c r="F154" s="5"/>
    </row>
    <row r="155" spans="5:6">
      <c r="E155" s="5"/>
      <c r="F155" s="5"/>
    </row>
    <row r="156" spans="5:6">
      <c r="E156" s="5"/>
      <c r="F156" s="5"/>
    </row>
    <row r="157" spans="5:6">
      <c r="E157" s="5"/>
      <c r="F157" s="5"/>
    </row>
    <row r="158" spans="5:6">
      <c r="E158" s="5"/>
      <c r="F158" s="5"/>
    </row>
    <row r="159" spans="5:6">
      <c r="E159" s="5"/>
      <c r="F159" s="5"/>
    </row>
    <row r="160" spans="5:6">
      <c r="E160" s="5"/>
      <c r="F160" s="5"/>
    </row>
    <row r="161" spans="5:6">
      <c r="E161" s="5"/>
      <c r="F161" s="5"/>
    </row>
    <row r="162" spans="5:6">
      <c r="E162" s="5"/>
      <c r="F162" s="5"/>
    </row>
    <row r="163" spans="5:6">
      <c r="E163" s="5"/>
      <c r="F163" s="5"/>
    </row>
    <row r="164" spans="5:6">
      <c r="E164" s="5"/>
      <c r="F164" s="5"/>
    </row>
    <row r="165" spans="5:6">
      <c r="E165" s="5"/>
      <c r="F165" s="5"/>
    </row>
    <row r="166" spans="5:6">
      <c r="E166" s="5"/>
      <c r="F166" s="5"/>
    </row>
    <row r="167" spans="5:6">
      <c r="E167" s="5"/>
      <c r="F167" s="5"/>
    </row>
    <row r="168" spans="5:6">
      <c r="E168" s="5"/>
      <c r="F168" s="5"/>
    </row>
    <row r="169" spans="5:6">
      <c r="E169" s="5"/>
      <c r="F169" s="5"/>
    </row>
    <row r="170" spans="5:6">
      <c r="E170" s="5"/>
      <c r="F170" s="5"/>
    </row>
    <row r="171" spans="5:6">
      <c r="E171" s="5"/>
      <c r="F171" s="5"/>
    </row>
    <row r="172" spans="5:6">
      <c r="E172" s="5"/>
      <c r="F172" s="5"/>
    </row>
    <row r="173" spans="5:6">
      <c r="E173" s="5"/>
      <c r="F173" s="5"/>
    </row>
    <row r="174" spans="5:6">
      <c r="E174" s="5"/>
      <c r="F174" s="5"/>
    </row>
    <row r="175" spans="5:6">
      <c r="E175" s="5"/>
      <c r="F175" s="5"/>
    </row>
    <row r="176" spans="5:6">
      <c r="E176" s="5"/>
      <c r="F176" s="5"/>
    </row>
    <row r="177" spans="5:6">
      <c r="E177" s="5"/>
      <c r="F177" s="5"/>
    </row>
    <row r="178" spans="5:6">
      <c r="E178" s="5"/>
      <c r="F178" s="5"/>
    </row>
    <row r="179" spans="5:6">
      <c r="E179" s="5"/>
      <c r="F179" s="5"/>
    </row>
    <row r="180" spans="5:6">
      <c r="E180" s="5"/>
      <c r="F180" s="5"/>
    </row>
    <row r="181" spans="5:6">
      <c r="E181" s="5"/>
      <c r="F181" s="5"/>
    </row>
    <row r="182" spans="5:6">
      <c r="E182" s="5"/>
      <c r="F182" s="5"/>
    </row>
    <row r="183" spans="5:6">
      <c r="E183" s="5"/>
      <c r="F183" s="5"/>
    </row>
    <row r="184" spans="5:6">
      <c r="E184" s="5"/>
      <c r="F184" s="5"/>
    </row>
    <row r="185" spans="5:6">
      <c r="E185" s="5"/>
      <c r="F185" s="5"/>
    </row>
    <row r="186" spans="5:6">
      <c r="E186" s="5"/>
      <c r="F186" s="5"/>
    </row>
    <row r="187" spans="5:6">
      <c r="E187" s="5"/>
      <c r="F187" s="5"/>
    </row>
    <row r="188" spans="5:6">
      <c r="E188" s="5"/>
      <c r="F188" s="5"/>
    </row>
    <row r="189" spans="5:6">
      <c r="E189" s="5"/>
      <c r="F189" s="5"/>
    </row>
    <row r="190" spans="5:6">
      <c r="E190" s="5"/>
      <c r="F190" s="5"/>
    </row>
    <row r="191" spans="5:6">
      <c r="E191" s="5"/>
      <c r="F191" s="5"/>
    </row>
    <row r="192" spans="5:6">
      <c r="E192" s="5"/>
      <c r="F192" s="5"/>
    </row>
    <row r="193" spans="5:6">
      <c r="E193" s="5"/>
      <c r="F193" s="5"/>
    </row>
    <row r="194" spans="5:6">
      <c r="E194" s="5"/>
      <c r="F194" s="5"/>
    </row>
    <row r="195" spans="5:6">
      <c r="E195" s="5"/>
      <c r="F195" s="5"/>
    </row>
    <row r="196" spans="5:6">
      <c r="E196" s="5"/>
      <c r="F196" s="5"/>
    </row>
    <row r="197" spans="5:6">
      <c r="E197" s="5"/>
      <c r="F197" s="5"/>
    </row>
    <row r="198" spans="5:6">
      <c r="E198" s="5"/>
      <c r="F198" s="5"/>
    </row>
    <row r="199" spans="5:6">
      <c r="E199" s="5"/>
      <c r="F199" s="5"/>
    </row>
    <row r="200" spans="5:6">
      <c r="E200" s="5"/>
      <c r="F200" s="5"/>
    </row>
    <row r="201" spans="5:6">
      <c r="E201" s="5"/>
      <c r="F201" s="5"/>
    </row>
    <row r="202" spans="5:6">
      <c r="E202" s="5"/>
      <c r="F202" s="5"/>
    </row>
    <row r="203" spans="5:6">
      <c r="E203" s="5"/>
      <c r="F203" s="5"/>
    </row>
    <row r="204" spans="5:6">
      <c r="E204" s="5"/>
      <c r="F204" s="5"/>
    </row>
    <row r="205" spans="5:6">
      <c r="E205" s="5"/>
      <c r="F205" s="5"/>
    </row>
    <row r="206" spans="5:6">
      <c r="E206" s="5"/>
      <c r="F206" s="5"/>
    </row>
    <row r="207" spans="5:6">
      <c r="E207" s="5"/>
      <c r="F207" s="5"/>
    </row>
    <row r="208" spans="5:6">
      <c r="E208" s="5"/>
      <c r="F208" s="5"/>
    </row>
    <row r="209" spans="5:6">
      <c r="E209" s="5"/>
      <c r="F209" s="5"/>
    </row>
    <row r="210" spans="5:6">
      <c r="E210" s="5"/>
      <c r="F210" s="5"/>
    </row>
    <row r="211" spans="5:6">
      <c r="E211" s="5"/>
      <c r="F211" s="5"/>
    </row>
    <row r="212" spans="5:6">
      <c r="E212" s="5"/>
      <c r="F212" s="5"/>
    </row>
    <row r="213" spans="5:6">
      <c r="E213" s="5"/>
      <c r="F213" s="5"/>
    </row>
    <row r="214" spans="5:6">
      <c r="E214" s="5"/>
      <c r="F214" s="5"/>
    </row>
    <row r="215" spans="5:6">
      <c r="E215" s="5"/>
      <c r="F215" s="5"/>
    </row>
    <row r="216" spans="5:6">
      <c r="E216" s="5"/>
      <c r="F216" s="5"/>
    </row>
    <row r="217" spans="5:6">
      <c r="E217" s="5"/>
      <c r="F217" s="5"/>
    </row>
    <row r="218" spans="5:6">
      <c r="E218" s="5"/>
      <c r="F218" s="5"/>
    </row>
    <row r="219" spans="5:6">
      <c r="E219" s="5"/>
      <c r="F219" s="5"/>
    </row>
    <row r="220" spans="5:6">
      <c r="E220" s="5"/>
      <c r="F220" s="5"/>
    </row>
    <row r="221" spans="5:6">
      <c r="E221" s="5"/>
      <c r="F221" s="5"/>
    </row>
    <row r="222" spans="5:6">
      <c r="E222" s="5"/>
      <c r="F222" s="5"/>
    </row>
    <row r="223" spans="5:6">
      <c r="E223" s="5"/>
      <c r="F223" s="5"/>
    </row>
    <row r="224" spans="5:6">
      <c r="E224" s="5"/>
      <c r="F224" s="5"/>
    </row>
    <row r="225" spans="5:6">
      <c r="E225" s="5"/>
      <c r="F225" s="5"/>
    </row>
    <row r="226" spans="5:6">
      <c r="E226" s="5"/>
      <c r="F226" s="5"/>
    </row>
    <row r="227" spans="5:6">
      <c r="E227" s="5"/>
      <c r="F227" s="5"/>
    </row>
    <row r="228" spans="5:6">
      <c r="E228" s="5"/>
      <c r="F228" s="5"/>
    </row>
    <row r="229" spans="5:6">
      <c r="E229" s="5"/>
      <c r="F229" s="5"/>
    </row>
    <row r="230" spans="5:6">
      <c r="E230" s="5"/>
      <c r="F230" s="5"/>
    </row>
    <row r="231" spans="5:6">
      <c r="E231" s="5"/>
      <c r="F231" s="5"/>
    </row>
    <row r="232" spans="5:6">
      <c r="E232" s="5"/>
      <c r="F232" s="5"/>
    </row>
    <row r="233" spans="5:6">
      <c r="E233" s="5"/>
      <c r="F233" s="5"/>
    </row>
    <row r="234" spans="5:6">
      <c r="E234" s="5"/>
      <c r="F234" s="5"/>
    </row>
    <row r="235" spans="5:6">
      <c r="E235" s="5"/>
      <c r="F235" s="5"/>
    </row>
    <row r="236" spans="5:6">
      <c r="E236" s="5"/>
      <c r="F236" s="5"/>
    </row>
    <row r="237" spans="5:6">
      <c r="E237" s="5"/>
      <c r="F237" s="5"/>
    </row>
    <row r="238" spans="5:6">
      <c r="E238" s="5"/>
      <c r="F238" s="5"/>
    </row>
    <row r="239" spans="5:6">
      <c r="E239" s="5"/>
      <c r="F239" s="5"/>
    </row>
    <row r="240" spans="5:6">
      <c r="E240" s="5"/>
      <c r="F240" s="5"/>
    </row>
    <row r="241" spans="5:6">
      <c r="E241" s="5"/>
      <c r="F241" s="5"/>
    </row>
    <row r="242" spans="5:6">
      <c r="E242" s="5"/>
      <c r="F242" s="5"/>
    </row>
    <row r="243" spans="5:6">
      <c r="E243" s="5"/>
      <c r="F243" s="5"/>
    </row>
    <row r="244" spans="5:6">
      <c r="E244" s="5"/>
      <c r="F244" s="5"/>
    </row>
    <row r="245" spans="5:6">
      <c r="E245" s="5"/>
      <c r="F245" s="5"/>
    </row>
    <row r="246" spans="5:6">
      <c r="E246" s="5"/>
      <c r="F246" s="5"/>
    </row>
    <row r="247" spans="5:6">
      <c r="E247" s="5"/>
      <c r="F247" s="5"/>
    </row>
    <row r="248" spans="5:6">
      <c r="E248" s="5"/>
      <c r="F248" s="5"/>
    </row>
    <row r="249" spans="5:6">
      <c r="E249" s="5"/>
      <c r="F249" s="5"/>
    </row>
    <row r="250" spans="5:6">
      <c r="E250" s="5"/>
      <c r="F250" s="5"/>
    </row>
    <row r="251" spans="5:6">
      <c r="E251" s="5"/>
      <c r="F251" s="5"/>
    </row>
    <row r="252" spans="5:6">
      <c r="E252" s="5"/>
      <c r="F252" s="5"/>
    </row>
    <row r="253" spans="5:6">
      <c r="E253" s="5"/>
      <c r="F253" s="5"/>
    </row>
    <row r="254" spans="5:6">
      <c r="E254" s="5"/>
      <c r="F254" s="5"/>
    </row>
    <row r="255" spans="5:6">
      <c r="E255" s="5"/>
      <c r="F255" s="5"/>
    </row>
    <row r="256" spans="5:6">
      <c r="E256" s="5"/>
      <c r="F256" s="5"/>
    </row>
    <row r="257" spans="5:6">
      <c r="E257" s="5"/>
      <c r="F257" s="5"/>
    </row>
    <row r="258" spans="5:6">
      <c r="E258" s="5"/>
      <c r="F258" s="5"/>
    </row>
    <row r="259" spans="5:6">
      <c r="E259" s="5"/>
      <c r="F259" s="5"/>
    </row>
    <row r="260" spans="5:6">
      <c r="E260" s="5"/>
      <c r="F260" s="5"/>
    </row>
    <row r="261" spans="5:6">
      <c r="E261" s="5"/>
      <c r="F261" s="5"/>
    </row>
    <row r="262" spans="5:6">
      <c r="E262" s="5"/>
      <c r="F262" s="5"/>
    </row>
    <row r="263" spans="5:6">
      <c r="E263" s="5"/>
      <c r="F263" s="5"/>
    </row>
    <row r="264" spans="5:6">
      <c r="E264" s="5"/>
      <c r="F264" s="5"/>
    </row>
    <row r="265" spans="5:6">
      <c r="E265" s="5"/>
      <c r="F265" s="5"/>
    </row>
    <row r="266" spans="5:6">
      <c r="E266" s="5"/>
      <c r="F266" s="5"/>
    </row>
    <row r="267" spans="5:6">
      <c r="E267" s="5"/>
      <c r="F267" s="5"/>
    </row>
    <row r="268" spans="5:6">
      <c r="E268" s="5"/>
      <c r="F268" s="5"/>
    </row>
    <row r="269" spans="5:6">
      <c r="E269" s="5"/>
      <c r="F269" s="5"/>
    </row>
    <row r="270" spans="5:6">
      <c r="E270" s="5"/>
      <c r="F270" s="5"/>
    </row>
    <row r="271" spans="5:6">
      <c r="E271" s="5"/>
      <c r="F271" s="5"/>
    </row>
    <row r="272" spans="5:6">
      <c r="E272" s="5"/>
      <c r="F272" s="5"/>
    </row>
    <row r="273" spans="5:6">
      <c r="E273" s="5"/>
      <c r="F273" s="5"/>
    </row>
    <row r="274" spans="5:6">
      <c r="E274" s="5"/>
      <c r="F274" s="5"/>
    </row>
    <row r="275" spans="5:6">
      <c r="E275" s="5"/>
      <c r="F275" s="5"/>
    </row>
    <row r="276" spans="5:6">
      <c r="E276" s="5"/>
      <c r="F276" s="5"/>
    </row>
    <row r="277" spans="5:6">
      <c r="E277" s="5"/>
      <c r="F277" s="5"/>
    </row>
    <row r="278" spans="5:6">
      <c r="E278" s="5"/>
      <c r="F278" s="5"/>
    </row>
    <row r="279" spans="5:6">
      <c r="E279" s="5"/>
      <c r="F279" s="5"/>
    </row>
    <row r="280" spans="5:6">
      <c r="E280" s="5"/>
      <c r="F280" s="5"/>
    </row>
    <row r="281" spans="5:6">
      <c r="E281" s="5"/>
      <c r="F281" s="5"/>
    </row>
    <row r="282" spans="5:6">
      <c r="E282" s="5"/>
      <c r="F282" s="5"/>
    </row>
    <row r="283" spans="5:6">
      <c r="E283" s="5"/>
      <c r="F283" s="5"/>
    </row>
    <row r="284" spans="5:6">
      <c r="E284" s="5"/>
      <c r="F284" s="5"/>
    </row>
  </sheetData>
  <mergeCells count="4">
    <mergeCell ref="A7:F7"/>
    <mergeCell ref="A4:F4"/>
    <mergeCell ref="A5:F5"/>
    <mergeCell ref="A6:F6"/>
  </mergeCells>
  <phoneticPr fontId="5" type="noConversion"/>
  <pageMargins left="0.75" right="0.75" top="1" bottom="1" header="0.5" footer="0.5"/>
  <pageSetup scale="86"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rgb="FFFF0000"/>
    <pageSetUpPr fitToPage="1"/>
  </sheetPr>
  <dimension ref="A1:M332"/>
  <sheetViews>
    <sheetView workbookViewId="0">
      <selection activeCell="F45" sqref="F45"/>
    </sheetView>
  </sheetViews>
  <sheetFormatPr defaultRowHeight="12.75"/>
  <cols>
    <col min="1" max="1" width="4.42578125" style="72" bestFit="1" customWidth="1"/>
    <col min="2" max="2" width="41.5703125" style="72" bestFit="1" customWidth="1"/>
    <col min="3" max="3" width="8.85546875" style="227" bestFit="1" customWidth="1"/>
    <col min="4" max="4" width="10.28515625" style="227" bestFit="1" customWidth="1"/>
    <col min="5" max="5" width="11.5703125" style="72" bestFit="1" customWidth="1"/>
    <col min="6" max="6" width="16.5703125" style="72" bestFit="1" customWidth="1"/>
    <col min="7" max="16384" width="9.140625" style="72"/>
  </cols>
  <sheetData>
    <row r="1" spans="1:13">
      <c r="F1" s="72" t="str">
        <f>'Title Input and Macros'!B7</f>
        <v>Docket No. RP16-299-000</v>
      </c>
    </row>
    <row r="2" spans="1:13">
      <c r="F2" s="72" t="s">
        <v>417</v>
      </c>
    </row>
    <row r="4" spans="1:13">
      <c r="A4" s="945" t="str">
        <f>'Sched H-1 (2)(c)'!A4:F4</f>
        <v>Tuscarora Gas Transmission Company</v>
      </c>
      <c r="B4" s="946"/>
      <c r="C4" s="946"/>
      <c r="D4" s="946"/>
      <c r="E4" s="946"/>
      <c r="F4" s="946"/>
    </row>
    <row r="5" spans="1:13">
      <c r="A5" s="946" t="s">
        <v>418</v>
      </c>
      <c r="B5" s="946"/>
      <c r="C5" s="946"/>
      <c r="D5" s="946"/>
      <c r="E5" s="946"/>
      <c r="F5" s="946"/>
    </row>
    <row r="6" spans="1:13">
      <c r="A6" s="945" t="str">
        <f>'Title Input and Macros'!B9</f>
        <v>For the Twelve Months Ended December 31, 2015, As Adjusted</v>
      </c>
      <c r="B6" s="946"/>
      <c r="C6" s="946"/>
      <c r="D6" s="946"/>
      <c r="E6" s="946"/>
      <c r="F6" s="946"/>
    </row>
    <row r="7" spans="1:13">
      <c r="A7" s="945"/>
      <c r="B7" s="945"/>
      <c r="C7" s="945"/>
      <c r="D7" s="945"/>
      <c r="E7" s="945"/>
      <c r="F7" s="945"/>
    </row>
    <row r="8" spans="1:13" s="132" customFormat="1">
      <c r="C8" s="227"/>
      <c r="D8" s="227"/>
    </row>
    <row r="9" spans="1:13">
      <c r="A9" s="132"/>
      <c r="B9" s="139" t="s">
        <v>781</v>
      </c>
      <c r="E9" s="132"/>
      <c r="F9" s="132"/>
    </row>
    <row r="10" spans="1:13">
      <c r="A10" s="149"/>
      <c r="B10" s="149"/>
      <c r="C10" s="238"/>
      <c r="D10" s="238"/>
      <c r="E10" s="149"/>
      <c r="F10" s="149"/>
    </row>
    <row r="11" spans="1:13">
      <c r="B11" s="132"/>
      <c r="D11" s="132"/>
      <c r="E11" s="132"/>
      <c r="F11" s="132"/>
    </row>
    <row r="12" spans="1:13">
      <c r="E12" s="132"/>
      <c r="F12" s="132"/>
    </row>
    <row r="13" spans="1:13">
      <c r="D13" s="248"/>
      <c r="E13" s="248"/>
      <c r="F13" s="248"/>
    </row>
    <row r="14" spans="1:13">
      <c r="D14" s="248"/>
      <c r="E14" s="248"/>
      <c r="F14" s="248"/>
    </row>
    <row r="15" spans="1:13">
      <c r="B15" s="131"/>
      <c r="D15" s="531"/>
      <c r="E15" s="531"/>
      <c r="F15" s="531"/>
      <c r="G15" s="242"/>
      <c r="H15" s="242"/>
      <c r="I15" s="242"/>
      <c r="J15" s="242"/>
      <c r="K15" s="242"/>
      <c r="L15" s="242"/>
      <c r="M15" s="242"/>
    </row>
    <row r="17" spans="6:6">
      <c r="F17" s="106"/>
    </row>
    <row r="38" spans="5:6">
      <c r="E38" s="129"/>
      <c r="F38" s="129"/>
    </row>
    <row r="39" spans="5:6">
      <c r="E39" s="129"/>
      <c r="F39" s="129"/>
    </row>
    <row r="40" spans="5:6">
      <c r="E40" s="129"/>
      <c r="F40" s="129"/>
    </row>
    <row r="41" spans="5:6">
      <c r="E41" s="129"/>
      <c r="F41" s="129"/>
    </row>
    <row r="42" spans="5:6">
      <c r="E42" s="129"/>
      <c r="F42" s="129"/>
    </row>
    <row r="43" spans="5:6">
      <c r="E43" s="129"/>
      <c r="F43" s="129"/>
    </row>
    <row r="44" spans="5:6">
      <c r="E44" s="129"/>
      <c r="F44" s="129"/>
    </row>
    <row r="45" spans="5:6">
      <c r="E45" s="129"/>
      <c r="F45" s="129"/>
    </row>
    <row r="46" spans="5:6">
      <c r="E46" s="129"/>
      <c r="F46" s="129"/>
    </row>
    <row r="47" spans="5:6">
      <c r="E47" s="129"/>
      <c r="F47" s="129"/>
    </row>
    <row r="48" spans="5:6">
      <c r="E48" s="129"/>
      <c r="F48" s="129"/>
    </row>
    <row r="49" spans="5:6">
      <c r="E49" s="129"/>
      <c r="F49" s="129"/>
    </row>
    <row r="50" spans="5:6">
      <c r="E50" s="129"/>
      <c r="F50" s="129"/>
    </row>
    <row r="51" spans="5:6">
      <c r="E51" s="129"/>
      <c r="F51" s="129"/>
    </row>
    <row r="52" spans="5:6">
      <c r="E52" s="129"/>
      <c r="F52" s="129"/>
    </row>
    <row r="53" spans="5:6">
      <c r="E53" s="129"/>
      <c r="F53" s="129"/>
    </row>
    <row r="54" spans="5:6">
      <c r="E54" s="129"/>
      <c r="F54" s="129"/>
    </row>
    <row r="55" spans="5:6">
      <c r="E55" s="129"/>
      <c r="F55" s="129"/>
    </row>
    <row r="56" spans="5:6">
      <c r="E56" s="129"/>
      <c r="F56" s="129"/>
    </row>
    <row r="57" spans="5:6">
      <c r="E57" s="129"/>
      <c r="F57" s="129"/>
    </row>
    <row r="58" spans="5:6">
      <c r="E58" s="129"/>
      <c r="F58" s="129"/>
    </row>
    <row r="59" spans="5:6">
      <c r="E59" s="129"/>
      <c r="F59" s="129"/>
    </row>
    <row r="60" spans="5:6">
      <c r="E60" s="129"/>
      <c r="F60" s="129"/>
    </row>
    <row r="61" spans="5:6">
      <c r="E61" s="129"/>
      <c r="F61" s="129"/>
    </row>
    <row r="62" spans="5:6">
      <c r="E62" s="129"/>
      <c r="F62" s="129"/>
    </row>
    <row r="63" spans="5:6">
      <c r="E63" s="129"/>
      <c r="F63" s="129"/>
    </row>
    <row r="64" spans="5:6">
      <c r="E64" s="129"/>
      <c r="F64" s="129"/>
    </row>
    <row r="65" spans="5:6">
      <c r="E65" s="129"/>
      <c r="F65" s="129"/>
    </row>
    <row r="66" spans="5:6">
      <c r="E66" s="129"/>
      <c r="F66" s="129"/>
    </row>
    <row r="67" spans="5:6">
      <c r="E67" s="129"/>
      <c r="F67" s="129"/>
    </row>
    <row r="68" spans="5:6">
      <c r="E68" s="129"/>
      <c r="F68" s="129"/>
    </row>
    <row r="69" spans="5:6">
      <c r="E69" s="129"/>
      <c r="F69" s="129"/>
    </row>
    <row r="70" spans="5:6">
      <c r="E70" s="129"/>
      <c r="F70" s="129"/>
    </row>
    <row r="71" spans="5:6">
      <c r="E71" s="129"/>
      <c r="F71" s="129"/>
    </row>
    <row r="72" spans="5:6">
      <c r="E72" s="129"/>
      <c r="F72" s="129"/>
    </row>
    <row r="73" spans="5:6">
      <c r="E73" s="129"/>
      <c r="F73" s="129"/>
    </row>
    <row r="74" spans="5:6">
      <c r="E74" s="129"/>
      <c r="F74" s="129"/>
    </row>
    <row r="75" spans="5:6">
      <c r="E75" s="129"/>
      <c r="F75" s="129"/>
    </row>
    <row r="76" spans="5:6">
      <c r="E76" s="129"/>
      <c r="F76" s="129"/>
    </row>
    <row r="77" spans="5:6">
      <c r="E77" s="129"/>
      <c r="F77" s="129"/>
    </row>
    <row r="78" spans="5:6">
      <c r="E78" s="129"/>
      <c r="F78" s="129"/>
    </row>
    <row r="79" spans="5:6">
      <c r="E79" s="129"/>
      <c r="F79" s="129"/>
    </row>
    <row r="80" spans="5:6">
      <c r="E80" s="129"/>
      <c r="F80" s="129"/>
    </row>
    <row r="81" spans="5:6">
      <c r="E81" s="129"/>
      <c r="F81" s="129"/>
    </row>
    <row r="82" spans="5:6">
      <c r="E82" s="129"/>
      <c r="F82" s="129"/>
    </row>
    <row r="83" spans="5:6">
      <c r="E83" s="129"/>
      <c r="F83" s="129"/>
    </row>
    <row r="84" spans="5:6">
      <c r="E84" s="129"/>
      <c r="F84" s="129"/>
    </row>
    <row r="85" spans="5:6">
      <c r="E85" s="129"/>
      <c r="F85" s="129"/>
    </row>
    <row r="86" spans="5:6">
      <c r="E86" s="129"/>
      <c r="F86" s="129"/>
    </row>
    <row r="87" spans="5:6">
      <c r="E87" s="129"/>
      <c r="F87" s="129"/>
    </row>
    <row r="88" spans="5:6">
      <c r="E88" s="129"/>
      <c r="F88" s="129"/>
    </row>
    <row r="89" spans="5:6">
      <c r="E89" s="129"/>
      <c r="F89" s="129"/>
    </row>
    <row r="90" spans="5:6">
      <c r="E90" s="129"/>
      <c r="F90" s="129"/>
    </row>
    <row r="91" spans="5:6">
      <c r="E91" s="129"/>
      <c r="F91" s="129"/>
    </row>
    <row r="92" spans="5:6">
      <c r="E92" s="129"/>
      <c r="F92" s="129"/>
    </row>
    <row r="93" spans="5:6">
      <c r="E93" s="129"/>
      <c r="F93" s="129"/>
    </row>
    <row r="94" spans="5:6">
      <c r="E94" s="129"/>
      <c r="F94" s="129"/>
    </row>
    <row r="95" spans="5:6">
      <c r="E95" s="129"/>
      <c r="F95" s="129"/>
    </row>
    <row r="96" spans="5:6">
      <c r="E96" s="129"/>
      <c r="F96" s="129"/>
    </row>
    <row r="97" spans="5:6">
      <c r="E97" s="129"/>
      <c r="F97" s="129"/>
    </row>
    <row r="98" spans="5:6">
      <c r="E98" s="129"/>
      <c r="F98" s="129"/>
    </row>
    <row r="99" spans="5:6">
      <c r="E99" s="129"/>
      <c r="F99" s="129"/>
    </row>
    <row r="100" spans="5:6">
      <c r="E100" s="129"/>
      <c r="F100" s="129"/>
    </row>
    <row r="101" spans="5:6">
      <c r="E101" s="129"/>
      <c r="F101" s="129"/>
    </row>
    <row r="102" spans="5:6">
      <c r="E102" s="129"/>
      <c r="F102" s="129"/>
    </row>
    <row r="103" spans="5:6">
      <c r="E103" s="129"/>
      <c r="F103" s="129"/>
    </row>
    <row r="104" spans="5:6">
      <c r="E104" s="129"/>
      <c r="F104" s="129"/>
    </row>
    <row r="105" spans="5:6">
      <c r="E105" s="129"/>
      <c r="F105" s="129"/>
    </row>
    <row r="106" spans="5:6">
      <c r="E106" s="129"/>
      <c r="F106" s="129"/>
    </row>
    <row r="107" spans="5:6">
      <c r="E107" s="129"/>
      <c r="F107" s="129"/>
    </row>
    <row r="108" spans="5:6">
      <c r="E108" s="129"/>
      <c r="F108" s="129"/>
    </row>
    <row r="109" spans="5:6">
      <c r="E109" s="129"/>
      <c r="F109" s="129"/>
    </row>
    <row r="110" spans="5:6">
      <c r="E110" s="129"/>
      <c r="F110" s="129"/>
    </row>
    <row r="111" spans="5:6">
      <c r="E111" s="129"/>
      <c r="F111" s="129"/>
    </row>
    <row r="112" spans="5:6">
      <c r="E112" s="129"/>
      <c r="F112" s="129"/>
    </row>
    <row r="113" spans="5:6">
      <c r="E113" s="129"/>
      <c r="F113" s="129"/>
    </row>
    <row r="114" spans="5:6">
      <c r="E114" s="129"/>
      <c r="F114" s="129"/>
    </row>
    <row r="115" spans="5:6">
      <c r="E115" s="129"/>
      <c r="F115" s="129"/>
    </row>
    <row r="116" spans="5:6">
      <c r="E116" s="129"/>
      <c r="F116" s="129"/>
    </row>
    <row r="117" spans="5:6">
      <c r="E117" s="129"/>
      <c r="F117" s="129"/>
    </row>
    <row r="118" spans="5:6">
      <c r="E118" s="129"/>
      <c r="F118" s="129"/>
    </row>
    <row r="119" spans="5:6">
      <c r="E119" s="129"/>
      <c r="F119" s="129"/>
    </row>
    <row r="120" spans="5:6">
      <c r="E120" s="129"/>
      <c r="F120" s="129"/>
    </row>
    <row r="121" spans="5:6">
      <c r="E121" s="129"/>
      <c r="F121" s="129"/>
    </row>
    <row r="122" spans="5:6">
      <c r="E122" s="129"/>
      <c r="F122" s="129"/>
    </row>
    <row r="123" spans="5:6">
      <c r="E123" s="129"/>
      <c r="F123" s="129"/>
    </row>
    <row r="124" spans="5:6">
      <c r="E124" s="129"/>
      <c r="F124" s="129"/>
    </row>
    <row r="125" spans="5:6">
      <c r="E125" s="129"/>
      <c r="F125" s="129"/>
    </row>
    <row r="126" spans="5:6">
      <c r="E126" s="129"/>
      <c r="F126" s="129"/>
    </row>
    <row r="127" spans="5:6">
      <c r="E127" s="129"/>
      <c r="F127" s="129"/>
    </row>
    <row r="128" spans="5:6">
      <c r="E128" s="129"/>
      <c r="F128" s="129"/>
    </row>
    <row r="129" spans="5:6">
      <c r="E129" s="129"/>
      <c r="F129" s="129"/>
    </row>
    <row r="130" spans="5:6">
      <c r="E130" s="129"/>
      <c r="F130" s="129"/>
    </row>
    <row r="131" spans="5:6">
      <c r="E131" s="129"/>
      <c r="F131" s="129"/>
    </row>
    <row r="132" spans="5:6">
      <c r="E132" s="129"/>
      <c r="F132" s="129"/>
    </row>
    <row r="133" spans="5:6">
      <c r="E133" s="129"/>
      <c r="F133" s="129"/>
    </row>
    <row r="134" spans="5:6">
      <c r="E134" s="129"/>
      <c r="F134" s="129"/>
    </row>
    <row r="135" spans="5:6">
      <c r="E135" s="129"/>
      <c r="F135" s="129"/>
    </row>
    <row r="136" spans="5:6">
      <c r="E136" s="129"/>
      <c r="F136" s="129"/>
    </row>
    <row r="137" spans="5:6">
      <c r="E137" s="129"/>
      <c r="F137" s="129"/>
    </row>
    <row r="138" spans="5:6">
      <c r="E138" s="129"/>
      <c r="F138" s="129"/>
    </row>
    <row r="139" spans="5:6">
      <c r="E139" s="129"/>
      <c r="F139" s="129"/>
    </row>
    <row r="140" spans="5:6">
      <c r="E140" s="129"/>
      <c r="F140" s="129"/>
    </row>
    <row r="141" spans="5:6">
      <c r="E141" s="129"/>
      <c r="F141" s="129"/>
    </row>
    <row r="142" spans="5:6">
      <c r="E142" s="129"/>
      <c r="F142" s="129"/>
    </row>
    <row r="143" spans="5:6">
      <c r="E143" s="129"/>
      <c r="F143" s="129"/>
    </row>
    <row r="144" spans="5:6">
      <c r="E144" s="129"/>
      <c r="F144" s="129"/>
    </row>
    <row r="145" spans="5:6">
      <c r="E145" s="129"/>
      <c r="F145" s="129"/>
    </row>
    <row r="146" spans="5:6">
      <c r="E146" s="129"/>
      <c r="F146" s="129"/>
    </row>
    <row r="147" spans="5:6">
      <c r="E147" s="129"/>
      <c r="F147" s="129"/>
    </row>
    <row r="148" spans="5:6">
      <c r="E148" s="129"/>
      <c r="F148" s="129"/>
    </row>
    <row r="149" spans="5:6">
      <c r="E149" s="129"/>
      <c r="F149" s="129"/>
    </row>
    <row r="150" spans="5:6">
      <c r="E150" s="129"/>
      <c r="F150" s="129"/>
    </row>
    <row r="151" spans="5:6">
      <c r="E151" s="129"/>
      <c r="F151" s="129"/>
    </row>
    <row r="152" spans="5:6">
      <c r="E152" s="129"/>
      <c r="F152" s="129"/>
    </row>
    <row r="153" spans="5:6">
      <c r="E153" s="129"/>
      <c r="F153" s="129"/>
    </row>
    <row r="154" spans="5:6">
      <c r="E154" s="129"/>
      <c r="F154" s="129"/>
    </row>
    <row r="155" spans="5:6">
      <c r="E155" s="129"/>
      <c r="F155" s="129"/>
    </row>
    <row r="156" spans="5:6">
      <c r="E156" s="129"/>
      <c r="F156" s="129"/>
    </row>
    <row r="157" spans="5:6">
      <c r="E157" s="129"/>
      <c r="F157" s="129"/>
    </row>
    <row r="158" spans="5:6">
      <c r="E158" s="129"/>
      <c r="F158" s="129"/>
    </row>
    <row r="159" spans="5:6">
      <c r="E159" s="129"/>
      <c r="F159" s="129"/>
    </row>
    <row r="160" spans="5:6">
      <c r="E160" s="129"/>
      <c r="F160" s="129"/>
    </row>
    <row r="161" spans="5:6">
      <c r="E161" s="129"/>
      <c r="F161" s="129"/>
    </row>
    <row r="162" spans="5:6">
      <c r="E162" s="129"/>
      <c r="F162" s="129"/>
    </row>
    <row r="163" spans="5:6">
      <c r="E163" s="129"/>
      <c r="F163" s="129"/>
    </row>
    <row r="164" spans="5:6">
      <c r="E164" s="129"/>
      <c r="F164" s="129"/>
    </row>
    <row r="165" spans="5:6">
      <c r="E165" s="129"/>
      <c r="F165" s="129"/>
    </row>
    <row r="166" spans="5:6">
      <c r="E166" s="129"/>
      <c r="F166" s="129"/>
    </row>
    <row r="167" spans="5:6">
      <c r="E167" s="129"/>
      <c r="F167" s="129"/>
    </row>
    <row r="168" spans="5:6">
      <c r="E168" s="129"/>
      <c r="F168" s="129"/>
    </row>
    <row r="169" spans="5:6">
      <c r="E169" s="129"/>
      <c r="F169" s="129"/>
    </row>
    <row r="170" spans="5:6">
      <c r="E170" s="129"/>
      <c r="F170" s="129"/>
    </row>
    <row r="171" spans="5:6">
      <c r="E171" s="129"/>
      <c r="F171" s="129"/>
    </row>
    <row r="172" spans="5:6">
      <c r="E172" s="129"/>
      <c r="F172" s="129"/>
    </row>
    <row r="173" spans="5:6">
      <c r="E173" s="129"/>
      <c r="F173" s="129"/>
    </row>
    <row r="174" spans="5:6">
      <c r="E174" s="129"/>
      <c r="F174" s="129"/>
    </row>
    <row r="175" spans="5:6">
      <c r="E175" s="129"/>
      <c r="F175" s="129"/>
    </row>
    <row r="176" spans="5:6">
      <c r="E176" s="129"/>
      <c r="F176" s="129"/>
    </row>
    <row r="177" spans="5:6">
      <c r="E177" s="129"/>
      <c r="F177" s="129"/>
    </row>
    <row r="178" spans="5:6">
      <c r="E178" s="129"/>
      <c r="F178" s="129"/>
    </row>
    <row r="179" spans="5:6">
      <c r="E179" s="129"/>
      <c r="F179" s="129"/>
    </row>
    <row r="180" spans="5:6">
      <c r="E180" s="129"/>
      <c r="F180" s="129"/>
    </row>
    <row r="181" spans="5:6">
      <c r="E181" s="129"/>
      <c r="F181" s="129"/>
    </row>
    <row r="182" spans="5:6">
      <c r="E182" s="129"/>
      <c r="F182" s="129"/>
    </row>
    <row r="183" spans="5:6">
      <c r="E183" s="129"/>
      <c r="F183" s="129"/>
    </row>
    <row r="184" spans="5:6">
      <c r="E184" s="129"/>
      <c r="F184" s="129"/>
    </row>
    <row r="185" spans="5:6">
      <c r="E185" s="129"/>
      <c r="F185" s="129"/>
    </row>
    <row r="186" spans="5:6">
      <c r="E186" s="129"/>
      <c r="F186" s="129"/>
    </row>
    <row r="187" spans="5:6">
      <c r="E187" s="129"/>
      <c r="F187" s="129"/>
    </row>
    <row r="188" spans="5:6">
      <c r="E188" s="129"/>
      <c r="F188" s="129"/>
    </row>
    <row r="189" spans="5:6">
      <c r="E189" s="129"/>
      <c r="F189" s="129"/>
    </row>
    <row r="190" spans="5:6">
      <c r="E190" s="129"/>
      <c r="F190" s="129"/>
    </row>
    <row r="191" spans="5:6">
      <c r="E191" s="129"/>
      <c r="F191" s="129"/>
    </row>
    <row r="192" spans="5:6">
      <c r="E192" s="129"/>
      <c r="F192" s="129"/>
    </row>
    <row r="193" spans="5:6">
      <c r="E193" s="129"/>
      <c r="F193" s="129"/>
    </row>
    <row r="194" spans="5:6">
      <c r="E194" s="129"/>
      <c r="F194" s="129"/>
    </row>
    <row r="195" spans="5:6">
      <c r="E195" s="129"/>
      <c r="F195" s="129"/>
    </row>
    <row r="196" spans="5:6">
      <c r="E196" s="129"/>
      <c r="F196" s="129"/>
    </row>
    <row r="197" spans="5:6">
      <c r="E197" s="129"/>
      <c r="F197" s="129"/>
    </row>
    <row r="198" spans="5:6">
      <c r="E198" s="129"/>
      <c r="F198" s="129"/>
    </row>
    <row r="199" spans="5:6">
      <c r="E199" s="129"/>
      <c r="F199" s="129"/>
    </row>
    <row r="200" spans="5:6">
      <c r="E200" s="129"/>
      <c r="F200" s="129"/>
    </row>
    <row r="201" spans="5:6">
      <c r="E201" s="129"/>
      <c r="F201" s="129"/>
    </row>
    <row r="202" spans="5:6">
      <c r="E202" s="129"/>
      <c r="F202" s="129"/>
    </row>
    <row r="203" spans="5:6">
      <c r="E203" s="129"/>
      <c r="F203" s="129"/>
    </row>
    <row r="204" spans="5:6">
      <c r="E204" s="129"/>
      <c r="F204" s="129"/>
    </row>
    <row r="205" spans="5:6">
      <c r="E205" s="129"/>
      <c r="F205" s="129"/>
    </row>
    <row r="206" spans="5:6">
      <c r="E206" s="129"/>
      <c r="F206" s="129"/>
    </row>
    <row r="207" spans="5:6">
      <c r="E207" s="129"/>
      <c r="F207" s="129"/>
    </row>
    <row r="208" spans="5:6">
      <c r="E208" s="129"/>
      <c r="F208" s="129"/>
    </row>
    <row r="209" spans="5:6">
      <c r="E209" s="129"/>
      <c r="F209" s="129"/>
    </row>
    <row r="210" spans="5:6">
      <c r="E210" s="129"/>
      <c r="F210" s="129"/>
    </row>
    <row r="211" spans="5:6">
      <c r="E211" s="129"/>
      <c r="F211" s="129"/>
    </row>
    <row r="212" spans="5:6">
      <c r="E212" s="129"/>
      <c r="F212" s="129"/>
    </row>
    <row r="213" spans="5:6">
      <c r="E213" s="129"/>
      <c r="F213" s="129"/>
    </row>
    <row r="214" spans="5:6">
      <c r="E214" s="129"/>
      <c r="F214" s="129"/>
    </row>
    <row r="215" spans="5:6">
      <c r="E215" s="129"/>
      <c r="F215" s="129"/>
    </row>
    <row r="216" spans="5:6">
      <c r="E216" s="129"/>
      <c r="F216" s="129"/>
    </row>
    <row r="217" spans="5:6">
      <c r="E217" s="129"/>
      <c r="F217" s="129"/>
    </row>
    <row r="218" spans="5:6">
      <c r="E218" s="129"/>
      <c r="F218" s="129"/>
    </row>
    <row r="219" spans="5:6">
      <c r="E219" s="129"/>
      <c r="F219" s="129"/>
    </row>
    <row r="220" spans="5:6">
      <c r="E220" s="129"/>
      <c r="F220" s="129"/>
    </row>
    <row r="221" spans="5:6">
      <c r="E221" s="129"/>
      <c r="F221" s="129"/>
    </row>
    <row r="222" spans="5:6">
      <c r="E222" s="129"/>
      <c r="F222" s="129"/>
    </row>
    <row r="223" spans="5:6">
      <c r="E223" s="129"/>
      <c r="F223" s="129"/>
    </row>
    <row r="224" spans="5:6">
      <c r="E224" s="129"/>
      <c r="F224" s="129"/>
    </row>
    <row r="225" spans="5:6">
      <c r="E225" s="129"/>
      <c r="F225" s="129"/>
    </row>
    <row r="226" spans="5:6">
      <c r="E226" s="129"/>
      <c r="F226" s="129"/>
    </row>
    <row r="227" spans="5:6">
      <c r="E227" s="129"/>
      <c r="F227" s="129"/>
    </row>
    <row r="228" spans="5:6">
      <c r="E228" s="129"/>
      <c r="F228" s="129"/>
    </row>
    <row r="229" spans="5:6">
      <c r="E229" s="129"/>
      <c r="F229" s="129"/>
    </row>
    <row r="230" spans="5:6">
      <c r="E230" s="129"/>
      <c r="F230" s="129"/>
    </row>
    <row r="231" spans="5:6">
      <c r="E231" s="129"/>
      <c r="F231" s="129"/>
    </row>
    <row r="232" spans="5:6">
      <c r="E232" s="129"/>
      <c r="F232" s="129"/>
    </row>
    <row r="233" spans="5:6">
      <c r="E233" s="129"/>
      <c r="F233" s="129"/>
    </row>
    <row r="234" spans="5:6">
      <c r="E234" s="129"/>
      <c r="F234" s="129"/>
    </row>
    <row r="235" spans="5:6">
      <c r="E235" s="129"/>
      <c r="F235" s="129"/>
    </row>
    <row r="236" spans="5:6">
      <c r="E236" s="129"/>
      <c r="F236" s="129"/>
    </row>
    <row r="237" spans="5:6">
      <c r="E237" s="129"/>
      <c r="F237" s="129"/>
    </row>
    <row r="238" spans="5:6">
      <c r="E238" s="129"/>
      <c r="F238" s="129"/>
    </row>
    <row r="239" spans="5:6">
      <c r="E239" s="129"/>
      <c r="F239" s="129"/>
    </row>
    <row r="240" spans="5:6">
      <c r="E240" s="129"/>
      <c r="F240" s="129"/>
    </row>
    <row r="241" spans="5:6">
      <c r="E241" s="129"/>
      <c r="F241" s="129"/>
    </row>
    <row r="242" spans="5:6">
      <c r="E242" s="129"/>
      <c r="F242" s="129"/>
    </row>
    <row r="243" spans="5:6">
      <c r="E243" s="129"/>
      <c r="F243" s="129"/>
    </row>
    <row r="244" spans="5:6">
      <c r="E244" s="129"/>
      <c r="F244" s="129"/>
    </row>
    <row r="245" spans="5:6">
      <c r="E245" s="129"/>
      <c r="F245" s="129"/>
    </row>
    <row r="246" spans="5:6">
      <c r="E246" s="129"/>
      <c r="F246" s="129"/>
    </row>
    <row r="247" spans="5:6">
      <c r="E247" s="129"/>
      <c r="F247" s="129"/>
    </row>
    <row r="248" spans="5:6">
      <c r="E248" s="129"/>
      <c r="F248" s="129"/>
    </row>
    <row r="249" spans="5:6">
      <c r="E249" s="129"/>
      <c r="F249" s="129"/>
    </row>
    <row r="250" spans="5:6">
      <c r="E250" s="129"/>
      <c r="F250" s="129"/>
    </row>
    <row r="251" spans="5:6">
      <c r="E251" s="129"/>
      <c r="F251" s="129"/>
    </row>
    <row r="252" spans="5:6">
      <c r="E252" s="129"/>
      <c r="F252" s="129"/>
    </row>
    <row r="253" spans="5:6">
      <c r="E253" s="129"/>
      <c r="F253" s="129"/>
    </row>
    <row r="254" spans="5:6">
      <c r="E254" s="129"/>
      <c r="F254" s="129"/>
    </row>
    <row r="255" spans="5:6">
      <c r="E255" s="129"/>
      <c r="F255" s="129"/>
    </row>
    <row r="256" spans="5:6">
      <c r="E256" s="129"/>
      <c r="F256" s="129"/>
    </row>
    <row r="257" spans="5:6">
      <c r="E257" s="129"/>
      <c r="F257" s="129"/>
    </row>
    <row r="258" spans="5:6">
      <c r="E258" s="129"/>
      <c r="F258" s="129"/>
    </row>
    <row r="259" spans="5:6">
      <c r="E259" s="129"/>
      <c r="F259" s="129"/>
    </row>
    <row r="260" spans="5:6">
      <c r="E260" s="129"/>
      <c r="F260" s="129"/>
    </row>
    <row r="261" spans="5:6">
      <c r="E261" s="129"/>
      <c r="F261" s="129"/>
    </row>
    <row r="262" spans="5:6">
      <c r="E262" s="129"/>
      <c r="F262" s="129"/>
    </row>
    <row r="263" spans="5:6">
      <c r="E263" s="129"/>
      <c r="F263" s="129"/>
    </row>
    <row r="264" spans="5:6">
      <c r="E264" s="129"/>
      <c r="F264" s="129"/>
    </row>
    <row r="265" spans="5:6">
      <c r="E265" s="129"/>
      <c r="F265" s="129"/>
    </row>
    <row r="266" spans="5:6">
      <c r="E266" s="129"/>
      <c r="F266" s="129"/>
    </row>
    <row r="267" spans="5:6">
      <c r="E267" s="129"/>
      <c r="F267" s="129"/>
    </row>
    <row r="268" spans="5:6">
      <c r="E268" s="129"/>
      <c r="F268" s="129"/>
    </row>
    <row r="269" spans="5:6">
      <c r="E269" s="129"/>
      <c r="F269" s="129"/>
    </row>
    <row r="270" spans="5:6">
      <c r="E270" s="129"/>
      <c r="F270" s="129"/>
    </row>
    <row r="271" spans="5:6">
      <c r="E271" s="129"/>
      <c r="F271" s="129"/>
    </row>
    <row r="272" spans="5:6">
      <c r="E272" s="129"/>
      <c r="F272" s="129"/>
    </row>
    <row r="273" spans="5:6">
      <c r="E273" s="129"/>
      <c r="F273" s="129"/>
    </row>
    <row r="274" spans="5:6">
      <c r="E274" s="129"/>
      <c r="F274" s="129"/>
    </row>
    <row r="275" spans="5:6">
      <c r="E275" s="129"/>
      <c r="F275" s="129"/>
    </row>
    <row r="276" spans="5:6">
      <c r="E276" s="129"/>
      <c r="F276" s="129"/>
    </row>
    <row r="277" spans="5:6">
      <c r="E277" s="129"/>
      <c r="F277" s="129"/>
    </row>
    <row r="278" spans="5:6">
      <c r="E278" s="129"/>
      <c r="F278" s="129"/>
    </row>
    <row r="279" spans="5:6">
      <c r="E279" s="129"/>
      <c r="F279" s="129"/>
    </row>
    <row r="280" spans="5:6">
      <c r="E280" s="129"/>
      <c r="F280" s="129"/>
    </row>
    <row r="281" spans="5:6">
      <c r="E281" s="129"/>
      <c r="F281" s="129"/>
    </row>
    <row r="282" spans="5:6">
      <c r="E282" s="129"/>
      <c r="F282" s="129"/>
    </row>
    <row r="283" spans="5:6">
      <c r="E283" s="129"/>
      <c r="F283" s="129"/>
    </row>
    <row r="284" spans="5:6">
      <c r="E284" s="129"/>
      <c r="F284" s="129"/>
    </row>
    <row r="285" spans="5:6">
      <c r="E285" s="129"/>
      <c r="F285" s="129"/>
    </row>
    <row r="286" spans="5:6">
      <c r="E286" s="129"/>
      <c r="F286" s="129"/>
    </row>
    <row r="287" spans="5:6">
      <c r="E287" s="129"/>
      <c r="F287" s="129"/>
    </row>
    <row r="288" spans="5:6">
      <c r="E288" s="129"/>
      <c r="F288" s="129"/>
    </row>
    <row r="289" spans="5:6">
      <c r="E289" s="129"/>
      <c r="F289" s="129"/>
    </row>
    <row r="290" spans="5:6">
      <c r="E290" s="129"/>
      <c r="F290" s="129"/>
    </row>
    <row r="291" spans="5:6">
      <c r="E291" s="129"/>
      <c r="F291" s="129"/>
    </row>
    <row r="292" spans="5:6">
      <c r="E292" s="129"/>
      <c r="F292" s="129"/>
    </row>
    <row r="293" spans="5:6">
      <c r="E293" s="129"/>
      <c r="F293" s="129"/>
    </row>
    <row r="294" spans="5:6">
      <c r="E294" s="129"/>
      <c r="F294" s="129"/>
    </row>
    <row r="295" spans="5:6">
      <c r="E295" s="129"/>
      <c r="F295" s="129"/>
    </row>
    <row r="296" spans="5:6">
      <c r="E296" s="129"/>
      <c r="F296" s="129"/>
    </row>
    <row r="297" spans="5:6">
      <c r="E297" s="129"/>
      <c r="F297" s="129"/>
    </row>
    <row r="298" spans="5:6">
      <c r="E298" s="129"/>
      <c r="F298" s="129"/>
    </row>
    <row r="299" spans="5:6">
      <c r="E299" s="129"/>
      <c r="F299" s="129"/>
    </row>
    <row r="300" spans="5:6">
      <c r="E300" s="129"/>
      <c r="F300" s="129"/>
    </row>
    <row r="301" spans="5:6">
      <c r="E301" s="129"/>
      <c r="F301" s="129"/>
    </row>
    <row r="302" spans="5:6">
      <c r="E302" s="129"/>
      <c r="F302" s="129"/>
    </row>
    <row r="303" spans="5:6">
      <c r="E303" s="129"/>
      <c r="F303" s="129"/>
    </row>
    <row r="304" spans="5:6">
      <c r="E304" s="129"/>
      <c r="F304" s="129"/>
    </row>
    <row r="305" spans="5:6">
      <c r="E305" s="129"/>
      <c r="F305" s="129"/>
    </row>
    <row r="306" spans="5:6">
      <c r="E306" s="129"/>
      <c r="F306" s="129"/>
    </row>
    <row r="307" spans="5:6">
      <c r="E307" s="129"/>
      <c r="F307" s="129"/>
    </row>
    <row r="308" spans="5:6">
      <c r="E308" s="129"/>
      <c r="F308" s="129"/>
    </row>
    <row r="309" spans="5:6">
      <c r="E309" s="129"/>
      <c r="F309" s="129"/>
    </row>
    <row r="310" spans="5:6">
      <c r="E310" s="129"/>
      <c r="F310" s="129"/>
    </row>
    <row r="311" spans="5:6">
      <c r="E311" s="129"/>
      <c r="F311" s="129"/>
    </row>
    <row r="312" spans="5:6">
      <c r="E312" s="129"/>
      <c r="F312" s="129"/>
    </row>
    <row r="313" spans="5:6">
      <c r="E313" s="129"/>
      <c r="F313" s="129"/>
    </row>
    <row r="314" spans="5:6">
      <c r="E314" s="129"/>
      <c r="F314" s="129"/>
    </row>
    <row r="315" spans="5:6">
      <c r="E315" s="129"/>
      <c r="F315" s="129"/>
    </row>
    <row r="316" spans="5:6">
      <c r="E316" s="129"/>
      <c r="F316" s="129"/>
    </row>
    <row r="317" spans="5:6">
      <c r="E317" s="129"/>
      <c r="F317" s="129"/>
    </row>
    <row r="318" spans="5:6">
      <c r="E318" s="129"/>
      <c r="F318" s="129"/>
    </row>
    <row r="319" spans="5:6">
      <c r="E319" s="129"/>
      <c r="F319" s="129"/>
    </row>
    <row r="320" spans="5:6">
      <c r="E320" s="129"/>
      <c r="F320" s="129"/>
    </row>
    <row r="321" spans="5:6">
      <c r="E321" s="129"/>
      <c r="F321" s="129"/>
    </row>
    <row r="322" spans="5:6">
      <c r="E322" s="129"/>
      <c r="F322" s="129"/>
    </row>
    <row r="323" spans="5:6">
      <c r="E323" s="129"/>
      <c r="F323" s="129"/>
    </row>
    <row r="324" spans="5:6">
      <c r="E324" s="129"/>
      <c r="F324" s="129"/>
    </row>
    <row r="325" spans="5:6">
      <c r="E325" s="129"/>
      <c r="F325" s="129"/>
    </row>
    <row r="326" spans="5:6">
      <c r="E326" s="129"/>
      <c r="F326" s="129"/>
    </row>
    <row r="327" spans="5:6">
      <c r="E327" s="129"/>
      <c r="F327" s="129"/>
    </row>
    <row r="328" spans="5:6">
      <c r="E328" s="129"/>
      <c r="F328" s="129"/>
    </row>
    <row r="329" spans="5:6">
      <c r="E329" s="129"/>
      <c r="F329" s="129"/>
    </row>
    <row r="330" spans="5:6">
      <c r="E330" s="129"/>
      <c r="F330" s="129"/>
    </row>
    <row r="331" spans="5:6">
      <c r="E331" s="129"/>
      <c r="F331" s="129"/>
    </row>
    <row r="332" spans="5:6">
      <c r="E332" s="129"/>
      <c r="F332" s="129"/>
    </row>
  </sheetData>
  <mergeCells count="4">
    <mergeCell ref="A7:F7"/>
    <mergeCell ref="A4:F4"/>
    <mergeCell ref="A5:F5"/>
    <mergeCell ref="A6:F6"/>
  </mergeCells>
  <phoneticPr fontId="5" type="noConversion"/>
  <pageMargins left="0.75" right="0.75" top="1" bottom="1" header="0.5" footer="0.5"/>
  <pageSetup scale="88"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indexed="17"/>
    <pageSetUpPr fitToPage="1"/>
  </sheetPr>
  <dimension ref="A1:I331"/>
  <sheetViews>
    <sheetView workbookViewId="0">
      <selection activeCell="A4" sqref="A4:F4"/>
    </sheetView>
  </sheetViews>
  <sheetFormatPr defaultRowHeight="12.75"/>
  <cols>
    <col min="1" max="1" width="4.42578125" bestFit="1" customWidth="1"/>
    <col min="2" max="2" width="41.5703125" bestFit="1" customWidth="1"/>
    <col min="3" max="3" width="8.85546875" style="14" bestFit="1" customWidth="1"/>
    <col min="4" max="4" width="11.28515625" style="14" bestFit="1" customWidth="1"/>
    <col min="5" max="5" width="11.42578125" bestFit="1" customWidth="1"/>
    <col min="6" max="6" width="16.5703125" bestFit="1" customWidth="1"/>
  </cols>
  <sheetData>
    <row r="1" spans="1:9">
      <c r="F1" t="str">
        <f>'Title Input and Macros'!B7</f>
        <v>Docket No. RP16-299-000</v>
      </c>
    </row>
    <row r="2" spans="1:9">
      <c r="F2" t="s">
        <v>419</v>
      </c>
    </row>
    <row r="4" spans="1:9">
      <c r="A4" s="929" t="str">
        <f>'Sched H-1 (2)(d)'!A4:F4</f>
        <v>Tuscarora Gas Transmission Company</v>
      </c>
      <c r="B4" s="927"/>
      <c r="C4" s="927"/>
      <c r="D4" s="927"/>
      <c r="E4" s="927"/>
      <c r="F4" s="927"/>
    </row>
    <row r="5" spans="1:9">
      <c r="A5" s="927" t="s">
        <v>420</v>
      </c>
      <c r="B5" s="927"/>
      <c r="C5" s="927"/>
      <c r="D5" s="927"/>
      <c r="E5" s="927"/>
      <c r="F5" s="927"/>
    </row>
    <row r="6" spans="1:9">
      <c r="A6" s="929" t="str">
        <f>'Title Input and Macros'!B9</f>
        <v>For the Twelve Months Ended December 31, 2015, As Adjusted</v>
      </c>
      <c r="B6" s="927"/>
      <c r="C6" s="927"/>
      <c r="D6" s="927"/>
      <c r="E6" s="927"/>
      <c r="F6" s="927"/>
    </row>
    <row r="7" spans="1:9">
      <c r="A7" s="929"/>
      <c r="B7" s="929"/>
      <c r="C7" s="929"/>
      <c r="D7" s="929"/>
      <c r="E7" s="929"/>
      <c r="F7" s="929"/>
    </row>
    <row r="8" spans="1:9" s="2" customFormat="1">
      <c r="C8" s="14"/>
      <c r="D8" s="14"/>
    </row>
    <row r="9" spans="1:9">
      <c r="A9" s="2" t="s">
        <v>352</v>
      </c>
      <c r="B9" s="2"/>
      <c r="C9" s="14" t="s">
        <v>415</v>
      </c>
      <c r="D9" s="14" t="s">
        <v>310</v>
      </c>
      <c r="E9" s="2"/>
      <c r="F9" s="2" t="s">
        <v>326</v>
      </c>
    </row>
    <row r="10" spans="1:9">
      <c r="A10" s="3" t="s">
        <v>353</v>
      </c>
      <c r="B10" s="3" t="s">
        <v>354</v>
      </c>
      <c r="C10" s="15" t="s">
        <v>416</v>
      </c>
      <c r="D10" s="15" t="s">
        <v>411</v>
      </c>
      <c r="E10" s="3" t="s">
        <v>401</v>
      </c>
      <c r="F10" s="3" t="s">
        <v>402</v>
      </c>
    </row>
    <row r="11" spans="1:9">
      <c r="B11" s="2" t="s">
        <v>361</v>
      </c>
      <c r="C11" s="14" t="s">
        <v>362</v>
      </c>
      <c r="D11" s="2" t="s">
        <v>366</v>
      </c>
      <c r="E11" s="2" t="s">
        <v>363</v>
      </c>
      <c r="F11" s="2" t="s">
        <v>364</v>
      </c>
    </row>
    <row r="12" spans="1:9">
      <c r="D12" s="14" t="s">
        <v>365</v>
      </c>
      <c r="E12" s="2" t="s">
        <v>365</v>
      </c>
      <c r="F12" s="2" t="s">
        <v>365</v>
      </c>
    </row>
    <row r="13" spans="1:9">
      <c r="A13">
        <v>1</v>
      </c>
      <c r="B13" s="532" t="s">
        <v>782</v>
      </c>
      <c r="D13" s="534">
        <v>110000.01999999999</v>
      </c>
      <c r="E13" s="534">
        <v>0</v>
      </c>
      <c r="F13" s="133">
        <f>+D13+E13</f>
        <v>110000.01999999999</v>
      </c>
      <c r="G13" s="532"/>
      <c r="H13" s="188"/>
      <c r="I13" s="135"/>
    </row>
    <row r="14" spans="1:9">
      <c r="A14">
        <f t="shared" ref="A14:A19" si="0">A13+1</f>
        <v>2</v>
      </c>
      <c r="B14" s="532" t="s">
        <v>615</v>
      </c>
      <c r="D14" s="534">
        <v>1962</v>
      </c>
      <c r="E14" s="534">
        <v>0</v>
      </c>
      <c r="F14" s="133">
        <f t="shared" ref="F14:F18" si="1">+D14+E14</f>
        <v>1962</v>
      </c>
      <c r="G14" s="532"/>
      <c r="H14" s="188"/>
      <c r="I14" s="135"/>
    </row>
    <row r="15" spans="1:9">
      <c r="A15">
        <f t="shared" si="0"/>
        <v>3</v>
      </c>
      <c r="B15" s="532" t="s">
        <v>616</v>
      </c>
      <c r="D15" s="534">
        <v>4002.83</v>
      </c>
      <c r="E15" s="535">
        <v>0</v>
      </c>
      <c r="F15" s="133">
        <f t="shared" si="1"/>
        <v>4002.83</v>
      </c>
      <c r="G15" s="532"/>
      <c r="H15" s="188"/>
      <c r="I15" s="135"/>
    </row>
    <row r="16" spans="1:9">
      <c r="A16">
        <f t="shared" si="0"/>
        <v>4</v>
      </c>
      <c r="B16" s="532" t="s">
        <v>783</v>
      </c>
      <c r="D16" s="534">
        <v>12939.8</v>
      </c>
      <c r="E16" s="534">
        <v>0</v>
      </c>
      <c r="F16" s="133">
        <f t="shared" si="1"/>
        <v>12939.8</v>
      </c>
      <c r="G16" s="532"/>
      <c r="H16" s="188"/>
      <c r="I16" s="135"/>
    </row>
    <row r="17" spans="1:9">
      <c r="A17">
        <f t="shared" si="0"/>
        <v>5</v>
      </c>
      <c r="B17" s="532" t="s">
        <v>784</v>
      </c>
      <c r="D17" s="534">
        <v>-34509.519999999997</v>
      </c>
      <c r="E17" s="591">
        <f>D17*0.03</f>
        <v>-1035.2855999999999</v>
      </c>
      <c r="F17" s="133">
        <f t="shared" si="1"/>
        <v>-35544.8056</v>
      </c>
      <c r="H17" s="188"/>
      <c r="I17" s="135"/>
    </row>
    <row r="18" spans="1:9">
      <c r="A18">
        <f t="shared" si="0"/>
        <v>6</v>
      </c>
      <c r="B18" s="532" t="s">
        <v>785</v>
      </c>
      <c r="C18" s="227"/>
      <c r="D18" s="628">
        <f>'Sched H-1 (2)(j)'!O16</f>
        <v>3236620.89</v>
      </c>
      <c r="E18" s="237">
        <f>'Sched H-1 (2)(j)'!P16</f>
        <v>198473.88213900002</v>
      </c>
      <c r="F18" s="237">
        <f t="shared" si="1"/>
        <v>3435094.7721390002</v>
      </c>
      <c r="G18" s="532"/>
      <c r="H18" s="139"/>
      <c r="I18" s="135"/>
    </row>
    <row r="19" spans="1:9" ht="13.5" thickBot="1">
      <c r="A19">
        <f t="shared" si="0"/>
        <v>7</v>
      </c>
      <c r="B19" s="533" t="s">
        <v>342</v>
      </c>
      <c r="D19" s="137">
        <f>SUM(D13:D18)</f>
        <v>3331016.02</v>
      </c>
      <c r="E19" s="137">
        <f>SUM(E13:E18)</f>
        <v>197438.59653900002</v>
      </c>
      <c r="F19" s="137">
        <f>SUM(F13:F18)</f>
        <v>3528454.6165390001</v>
      </c>
      <c r="G19" s="533"/>
      <c r="I19" s="139"/>
    </row>
    <row r="20" spans="1:9" ht="13.5" thickTop="1">
      <c r="B20" s="139"/>
      <c r="D20" s="133"/>
      <c r="E20" s="127"/>
      <c r="F20" s="127"/>
      <c r="I20" s="139"/>
    </row>
    <row r="21" spans="1:9">
      <c r="D21" s="133"/>
      <c r="E21" s="127"/>
      <c r="F21" s="127"/>
    </row>
    <row r="22" spans="1:9">
      <c r="D22" s="70"/>
      <c r="E22" s="68"/>
      <c r="F22" s="68"/>
    </row>
    <row r="23" spans="1:9">
      <c r="D23" s="70"/>
      <c r="E23" s="68"/>
      <c r="F23" s="68"/>
    </row>
    <row r="24" spans="1:9">
      <c r="D24" s="70"/>
      <c r="E24" s="68"/>
      <c r="F24" s="68"/>
    </row>
    <row r="37" spans="5:6">
      <c r="E37" s="5"/>
      <c r="F37" s="5"/>
    </row>
    <row r="38" spans="5:6">
      <c r="E38" s="5"/>
      <c r="F38" s="5"/>
    </row>
    <row r="39" spans="5:6">
      <c r="E39" s="5"/>
      <c r="F39" s="5"/>
    </row>
    <row r="40" spans="5:6">
      <c r="E40" s="5"/>
      <c r="F40" s="5"/>
    </row>
    <row r="41" spans="5:6">
      <c r="E41" s="5"/>
      <c r="F41" s="5"/>
    </row>
    <row r="42" spans="5:6">
      <c r="E42" s="5"/>
      <c r="F42" s="5"/>
    </row>
    <row r="43" spans="5:6">
      <c r="E43" s="5"/>
      <c r="F43" s="5"/>
    </row>
    <row r="44" spans="5:6">
      <c r="E44" s="5"/>
      <c r="F44" s="5"/>
    </row>
    <row r="45" spans="5:6">
      <c r="E45" s="5"/>
      <c r="F45" s="5"/>
    </row>
    <row r="46" spans="5:6">
      <c r="E46" s="5"/>
      <c r="F46" s="5"/>
    </row>
    <row r="47" spans="5:6">
      <c r="E47" s="5"/>
      <c r="F47" s="5"/>
    </row>
    <row r="48" spans="5:6">
      <c r="E48" s="5"/>
      <c r="F48" s="5"/>
    </row>
    <row r="49" spans="5:6">
      <c r="E49" s="5"/>
      <c r="F49" s="5"/>
    </row>
    <row r="50" spans="5:6">
      <c r="E50" s="5"/>
      <c r="F50" s="5"/>
    </row>
    <row r="51" spans="5:6">
      <c r="E51" s="5"/>
      <c r="F51" s="5"/>
    </row>
    <row r="52" spans="5:6">
      <c r="E52" s="5"/>
      <c r="F52" s="5"/>
    </row>
    <row r="53" spans="5:6">
      <c r="E53" s="5"/>
      <c r="F53" s="5"/>
    </row>
    <row r="54" spans="5:6">
      <c r="E54" s="5"/>
      <c r="F54" s="5"/>
    </row>
    <row r="55" spans="5:6">
      <c r="E55" s="5"/>
      <c r="F55" s="5"/>
    </row>
    <row r="56" spans="5:6">
      <c r="E56" s="5"/>
      <c r="F56" s="5"/>
    </row>
    <row r="57" spans="5:6">
      <c r="E57" s="5"/>
      <c r="F57" s="5"/>
    </row>
    <row r="58" spans="5:6">
      <c r="E58" s="5"/>
      <c r="F58" s="5"/>
    </row>
    <row r="59" spans="5:6">
      <c r="E59" s="5"/>
      <c r="F59" s="5"/>
    </row>
    <row r="60" spans="5:6">
      <c r="E60" s="5"/>
      <c r="F60" s="5"/>
    </row>
    <row r="61" spans="5:6">
      <c r="E61" s="5"/>
      <c r="F61" s="5"/>
    </row>
    <row r="62" spans="5:6">
      <c r="E62" s="5"/>
      <c r="F62" s="5"/>
    </row>
    <row r="63" spans="5:6">
      <c r="E63" s="5"/>
      <c r="F63" s="5"/>
    </row>
    <row r="64" spans="5:6">
      <c r="E64" s="5"/>
      <c r="F64" s="5"/>
    </row>
    <row r="65" spans="5:6">
      <c r="E65" s="5"/>
      <c r="F65" s="5"/>
    </row>
    <row r="66" spans="5:6">
      <c r="E66" s="5"/>
      <c r="F66" s="5"/>
    </row>
    <row r="67" spans="5:6">
      <c r="E67" s="5"/>
      <c r="F67" s="5"/>
    </row>
    <row r="68" spans="5:6">
      <c r="E68" s="5"/>
      <c r="F68" s="5"/>
    </row>
    <row r="69" spans="5:6">
      <c r="E69" s="5"/>
      <c r="F69" s="5"/>
    </row>
    <row r="70" spans="5:6">
      <c r="E70" s="5"/>
      <c r="F70" s="5"/>
    </row>
    <row r="71" spans="5:6">
      <c r="E71" s="5"/>
      <c r="F71" s="5"/>
    </row>
    <row r="72" spans="5:6">
      <c r="E72" s="5"/>
      <c r="F72" s="5"/>
    </row>
    <row r="73" spans="5:6">
      <c r="E73" s="5"/>
      <c r="F73" s="5"/>
    </row>
    <row r="74" spans="5:6">
      <c r="E74" s="5"/>
      <c r="F74" s="5"/>
    </row>
    <row r="75" spans="5:6">
      <c r="E75" s="5"/>
      <c r="F75" s="5"/>
    </row>
    <row r="76" spans="5:6">
      <c r="E76" s="5"/>
      <c r="F76" s="5"/>
    </row>
    <row r="77" spans="5:6">
      <c r="E77" s="5"/>
      <c r="F77" s="5"/>
    </row>
    <row r="78" spans="5:6">
      <c r="E78" s="5"/>
      <c r="F78" s="5"/>
    </row>
    <row r="79" spans="5:6">
      <c r="E79" s="5"/>
      <c r="F79" s="5"/>
    </row>
    <row r="80" spans="5:6">
      <c r="E80" s="5"/>
      <c r="F80" s="5"/>
    </row>
    <row r="81" spans="5:6">
      <c r="E81" s="5"/>
      <c r="F81" s="5"/>
    </row>
    <row r="82" spans="5:6">
      <c r="E82" s="5"/>
      <c r="F82" s="5"/>
    </row>
    <row r="83" spans="5:6">
      <c r="E83" s="5"/>
      <c r="F83" s="5"/>
    </row>
    <row r="84" spans="5:6">
      <c r="E84" s="5"/>
      <c r="F84" s="5"/>
    </row>
    <row r="85" spans="5:6">
      <c r="E85" s="5"/>
      <c r="F85" s="5"/>
    </row>
    <row r="86" spans="5:6">
      <c r="E86" s="5"/>
      <c r="F86" s="5"/>
    </row>
    <row r="87" spans="5:6">
      <c r="E87" s="5"/>
      <c r="F87" s="5"/>
    </row>
    <row r="88" spans="5:6">
      <c r="E88" s="5"/>
      <c r="F88" s="5"/>
    </row>
    <row r="89" spans="5:6">
      <c r="E89" s="5"/>
      <c r="F89" s="5"/>
    </row>
    <row r="90" spans="5:6">
      <c r="E90" s="5"/>
      <c r="F90" s="5"/>
    </row>
    <row r="91" spans="5:6">
      <c r="E91" s="5"/>
      <c r="F91" s="5"/>
    </row>
    <row r="92" spans="5:6">
      <c r="E92" s="5"/>
      <c r="F92" s="5"/>
    </row>
    <row r="93" spans="5:6">
      <c r="E93" s="5"/>
      <c r="F93" s="5"/>
    </row>
    <row r="94" spans="5:6">
      <c r="E94" s="5"/>
      <c r="F94" s="5"/>
    </row>
    <row r="95" spans="5:6">
      <c r="E95" s="5"/>
      <c r="F95" s="5"/>
    </row>
    <row r="96" spans="5:6">
      <c r="E96" s="5"/>
      <c r="F96" s="5"/>
    </row>
    <row r="97" spans="5:6">
      <c r="E97" s="5"/>
      <c r="F97" s="5"/>
    </row>
    <row r="98" spans="5:6">
      <c r="E98" s="5"/>
      <c r="F98" s="5"/>
    </row>
    <row r="99" spans="5:6">
      <c r="E99" s="5"/>
      <c r="F99" s="5"/>
    </row>
    <row r="100" spans="5:6">
      <c r="E100" s="5"/>
      <c r="F100" s="5"/>
    </row>
    <row r="101" spans="5:6">
      <c r="E101" s="5"/>
      <c r="F101" s="5"/>
    </row>
    <row r="102" spans="5:6">
      <c r="E102" s="5"/>
      <c r="F102" s="5"/>
    </row>
    <row r="103" spans="5:6">
      <c r="E103" s="5"/>
      <c r="F103" s="5"/>
    </row>
    <row r="104" spans="5:6">
      <c r="E104" s="5"/>
      <c r="F104" s="5"/>
    </row>
    <row r="105" spans="5:6">
      <c r="E105" s="5"/>
      <c r="F105" s="5"/>
    </row>
    <row r="106" spans="5:6">
      <c r="E106" s="5"/>
      <c r="F106" s="5"/>
    </row>
    <row r="107" spans="5:6">
      <c r="E107" s="5"/>
      <c r="F107" s="5"/>
    </row>
    <row r="108" spans="5:6">
      <c r="E108" s="5"/>
      <c r="F108" s="5"/>
    </row>
    <row r="109" spans="5:6">
      <c r="E109" s="5"/>
      <c r="F109" s="5"/>
    </row>
    <row r="110" spans="5:6">
      <c r="E110" s="5"/>
      <c r="F110" s="5"/>
    </row>
    <row r="111" spans="5:6">
      <c r="E111" s="5"/>
      <c r="F111" s="5"/>
    </row>
    <row r="112" spans="5:6">
      <c r="E112" s="5"/>
      <c r="F112" s="5"/>
    </row>
    <row r="113" spans="5:6">
      <c r="E113" s="5"/>
      <c r="F113" s="5"/>
    </row>
    <row r="114" spans="5:6">
      <c r="E114" s="5"/>
      <c r="F114" s="5"/>
    </row>
    <row r="115" spans="5:6">
      <c r="E115" s="5"/>
      <c r="F115" s="5"/>
    </row>
    <row r="116" spans="5:6">
      <c r="E116" s="5"/>
      <c r="F116" s="5"/>
    </row>
    <row r="117" spans="5:6">
      <c r="E117" s="5"/>
      <c r="F117" s="5"/>
    </row>
    <row r="118" spans="5:6">
      <c r="E118" s="5"/>
      <c r="F118" s="5"/>
    </row>
    <row r="119" spans="5:6">
      <c r="E119" s="5"/>
      <c r="F119" s="5"/>
    </row>
    <row r="120" spans="5:6">
      <c r="E120" s="5"/>
      <c r="F120" s="5"/>
    </row>
    <row r="121" spans="5:6">
      <c r="E121" s="5"/>
      <c r="F121" s="5"/>
    </row>
    <row r="122" spans="5:6">
      <c r="E122" s="5"/>
      <c r="F122" s="5"/>
    </row>
    <row r="123" spans="5:6">
      <c r="E123" s="5"/>
      <c r="F123" s="5"/>
    </row>
    <row r="124" spans="5:6">
      <c r="E124" s="5"/>
      <c r="F124" s="5"/>
    </row>
    <row r="125" spans="5:6">
      <c r="E125" s="5"/>
      <c r="F125" s="5"/>
    </row>
    <row r="126" spans="5:6">
      <c r="E126" s="5"/>
      <c r="F126" s="5"/>
    </row>
    <row r="127" spans="5:6">
      <c r="E127" s="5"/>
      <c r="F127" s="5"/>
    </row>
    <row r="128" spans="5:6">
      <c r="E128" s="5"/>
      <c r="F128" s="5"/>
    </row>
    <row r="129" spans="5:6">
      <c r="E129" s="5"/>
      <c r="F129" s="5"/>
    </row>
    <row r="130" spans="5:6">
      <c r="E130" s="5"/>
      <c r="F130" s="5"/>
    </row>
    <row r="131" spans="5:6">
      <c r="E131" s="5"/>
      <c r="F131" s="5"/>
    </row>
    <row r="132" spans="5:6">
      <c r="E132" s="5"/>
      <c r="F132" s="5"/>
    </row>
    <row r="133" spans="5:6">
      <c r="E133" s="5"/>
      <c r="F133" s="5"/>
    </row>
    <row r="134" spans="5:6">
      <c r="E134" s="5"/>
      <c r="F134" s="5"/>
    </row>
    <row r="135" spans="5:6">
      <c r="E135" s="5"/>
      <c r="F135" s="5"/>
    </row>
    <row r="136" spans="5:6">
      <c r="E136" s="5"/>
      <c r="F136" s="5"/>
    </row>
    <row r="137" spans="5:6">
      <c r="E137" s="5"/>
      <c r="F137" s="5"/>
    </row>
    <row r="138" spans="5:6">
      <c r="E138" s="5"/>
      <c r="F138" s="5"/>
    </row>
    <row r="139" spans="5:6">
      <c r="E139" s="5"/>
      <c r="F139" s="5"/>
    </row>
    <row r="140" spans="5:6">
      <c r="E140" s="5"/>
      <c r="F140" s="5"/>
    </row>
    <row r="141" spans="5:6">
      <c r="E141" s="5"/>
      <c r="F141" s="5"/>
    </row>
    <row r="142" spans="5:6">
      <c r="E142" s="5"/>
      <c r="F142" s="5"/>
    </row>
    <row r="143" spans="5:6">
      <c r="E143" s="5"/>
      <c r="F143" s="5"/>
    </row>
    <row r="144" spans="5:6">
      <c r="E144" s="5"/>
      <c r="F144" s="5"/>
    </row>
    <row r="145" spans="5:6">
      <c r="E145" s="5"/>
      <c r="F145" s="5"/>
    </row>
    <row r="146" spans="5:6">
      <c r="E146" s="5"/>
      <c r="F146" s="5"/>
    </row>
    <row r="147" spans="5:6">
      <c r="E147" s="5"/>
      <c r="F147" s="5"/>
    </row>
    <row r="148" spans="5:6">
      <c r="E148" s="5"/>
      <c r="F148" s="5"/>
    </row>
    <row r="149" spans="5:6">
      <c r="E149" s="5"/>
      <c r="F149" s="5"/>
    </row>
    <row r="150" spans="5:6">
      <c r="E150" s="5"/>
      <c r="F150" s="5"/>
    </row>
    <row r="151" spans="5:6">
      <c r="E151" s="5"/>
      <c r="F151" s="5"/>
    </row>
    <row r="152" spans="5:6">
      <c r="E152" s="5"/>
      <c r="F152" s="5"/>
    </row>
    <row r="153" spans="5:6">
      <c r="E153" s="5"/>
      <c r="F153" s="5"/>
    </row>
    <row r="154" spans="5:6">
      <c r="E154" s="5"/>
      <c r="F154" s="5"/>
    </row>
    <row r="155" spans="5:6">
      <c r="E155" s="5"/>
      <c r="F155" s="5"/>
    </row>
    <row r="156" spans="5:6">
      <c r="E156" s="5"/>
      <c r="F156" s="5"/>
    </row>
    <row r="157" spans="5:6">
      <c r="E157" s="5"/>
      <c r="F157" s="5"/>
    </row>
    <row r="158" spans="5:6">
      <c r="E158" s="5"/>
      <c r="F158" s="5"/>
    </row>
    <row r="159" spans="5:6">
      <c r="E159" s="5"/>
      <c r="F159" s="5"/>
    </row>
    <row r="160" spans="5:6">
      <c r="E160" s="5"/>
      <c r="F160" s="5"/>
    </row>
    <row r="161" spans="5:6">
      <c r="E161" s="5"/>
      <c r="F161" s="5"/>
    </row>
    <row r="162" spans="5:6">
      <c r="E162" s="5"/>
      <c r="F162" s="5"/>
    </row>
    <row r="163" spans="5:6">
      <c r="E163" s="5"/>
      <c r="F163" s="5"/>
    </row>
    <row r="164" spans="5:6">
      <c r="E164" s="5"/>
      <c r="F164" s="5"/>
    </row>
    <row r="165" spans="5:6">
      <c r="E165" s="5"/>
      <c r="F165" s="5"/>
    </row>
    <row r="166" spans="5:6">
      <c r="E166" s="5"/>
      <c r="F166" s="5"/>
    </row>
    <row r="167" spans="5:6">
      <c r="E167" s="5"/>
      <c r="F167" s="5"/>
    </row>
    <row r="168" spans="5:6">
      <c r="E168" s="5"/>
      <c r="F168" s="5"/>
    </row>
    <row r="169" spans="5:6">
      <c r="E169" s="5"/>
      <c r="F169" s="5"/>
    </row>
    <row r="170" spans="5:6">
      <c r="E170" s="5"/>
      <c r="F170" s="5"/>
    </row>
    <row r="171" spans="5:6">
      <c r="E171" s="5"/>
      <c r="F171" s="5"/>
    </row>
    <row r="172" spans="5:6">
      <c r="E172" s="5"/>
      <c r="F172" s="5"/>
    </row>
    <row r="173" spans="5:6">
      <c r="E173" s="5"/>
      <c r="F173" s="5"/>
    </row>
    <row r="174" spans="5:6">
      <c r="E174" s="5"/>
      <c r="F174" s="5"/>
    </row>
    <row r="175" spans="5:6">
      <c r="E175" s="5"/>
      <c r="F175" s="5"/>
    </row>
    <row r="176" spans="5:6">
      <c r="E176" s="5"/>
      <c r="F176" s="5"/>
    </row>
    <row r="177" spans="5:6">
      <c r="E177" s="5"/>
      <c r="F177" s="5"/>
    </row>
    <row r="178" spans="5:6">
      <c r="E178" s="5"/>
      <c r="F178" s="5"/>
    </row>
    <row r="179" spans="5:6">
      <c r="E179" s="5"/>
      <c r="F179" s="5"/>
    </row>
    <row r="180" spans="5:6">
      <c r="E180" s="5"/>
      <c r="F180" s="5"/>
    </row>
    <row r="181" spans="5:6">
      <c r="E181" s="5"/>
      <c r="F181" s="5"/>
    </row>
    <row r="182" spans="5:6">
      <c r="E182" s="5"/>
      <c r="F182" s="5"/>
    </row>
    <row r="183" spans="5:6">
      <c r="E183" s="5"/>
      <c r="F183" s="5"/>
    </row>
    <row r="184" spans="5:6">
      <c r="E184" s="5"/>
      <c r="F184" s="5"/>
    </row>
    <row r="185" spans="5:6">
      <c r="E185" s="5"/>
      <c r="F185" s="5"/>
    </row>
    <row r="186" spans="5:6">
      <c r="E186" s="5"/>
      <c r="F186" s="5"/>
    </row>
    <row r="187" spans="5:6">
      <c r="E187" s="5"/>
      <c r="F187" s="5"/>
    </row>
    <row r="188" spans="5:6">
      <c r="E188" s="5"/>
      <c r="F188" s="5"/>
    </row>
    <row r="189" spans="5:6">
      <c r="E189" s="5"/>
      <c r="F189" s="5"/>
    </row>
    <row r="190" spans="5:6">
      <c r="E190" s="5"/>
      <c r="F190" s="5"/>
    </row>
    <row r="191" spans="5:6">
      <c r="E191" s="5"/>
      <c r="F191" s="5"/>
    </row>
    <row r="192" spans="5:6">
      <c r="E192" s="5"/>
      <c r="F192" s="5"/>
    </row>
    <row r="193" spans="5:6">
      <c r="E193" s="5"/>
      <c r="F193" s="5"/>
    </row>
    <row r="194" spans="5:6">
      <c r="E194" s="5"/>
      <c r="F194" s="5"/>
    </row>
    <row r="195" spans="5:6">
      <c r="E195" s="5"/>
      <c r="F195" s="5"/>
    </row>
    <row r="196" spans="5:6">
      <c r="E196" s="5"/>
      <c r="F196" s="5"/>
    </row>
    <row r="197" spans="5:6">
      <c r="E197" s="5"/>
      <c r="F197" s="5"/>
    </row>
    <row r="198" spans="5:6">
      <c r="E198" s="5"/>
      <c r="F198" s="5"/>
    </row>
    <row r="199" spans="5:6">
      <c r="E199" s="5"/>
      <c r="F199" s="5"/>
    </row>
    <row r="200" spans="5:6">
      <c r="E200" s="5"/>
      <c r="F200" s="5"/>
    </row>
    <row r="201" spans="5:6">
      <c r="E201" s="5"/>
      <c r="F201" s="5"/>
    </row>
    <row r="202" spans="5:6">
      <c r="E202" s="5"/>
      <c r="F202" s="5"/>
    </row>
    <row r="203" spans="5:6">
      <c r="E203" s="5"/>
      <c r="F203" s="5"/>
    </row>
    <row r="204" spans="5:6">
      <c r="E204" s="5"/>
      <c r="F204" s="5"/>
    </row>
    <row r="205" spans="5:6">
      <c r="E205" s="5"/>
      <c r="F205" s="5"/>
    </row>
    <row r="206" spans="5:6">
      <c r="E206" s="5"/>
      <c r="F206" s="5"/>
    </row>
    <row r="207" spans="5:6">
      <c r="E207" s="5"/>
      <c r="F207" s="5"/>
    </row>
    <row r="208" spans="5:6">
      <c r="E208" s="5"/>
      <c r="F208" s="5"/>
    </row>
    <row r="209" spans="5:6">
      <c r="E209" s="5"/>
      <c r="F209" s="5"/>
    </row>
    <row r="210" spans="5:6">
      <c r="E210" s="5"/>
      <c r="F210" s="5"/>
    </row>
    <row r="211" spans="5:6">
      <c r="E211" s="5"/>
      <c r="F211" s="5"/>
    </row>
    <row r="212" spans="5:6">
      <c r="E212" s="5"/>
      <c r="F212" s="5"/>
    </row>
    <row r="213" spans="5:6">
      <c r="E213" s="5"/>
      <c r="F213" s="5"/>
    </row>
    <row r="214" spans="5:6">
      <c r="E214" s="5"/>
      <c r="F214" s="5"/>
    </row>
    <row r="215" spans="5:6">
      <c r="E215" s="5"/>
      <c r="F215" s="5"/>
    </row>
    <row r="216" spans="5:6">
      <c r="E216" s="5"/>
      <c r="F216" s="5"/>
    </row>
    <row r="217" spans="5:6">
      <c r="E217" s="5"/>
      <c r="F217" s="5"/>
    </row>
    <row r="218" spans="5:6">
      <c r="E218" s="5"/>
      <c r="F218" s="5"/>
    </row>
    <row r="219" spans="5:6">
      <c r="E219" s="5"/>
      <c r="F219" s="5"/>
    </row>
    <row r="220" spans="5:6">
      <c r="E220" s="5"/>
      <c r="F220" s="5"/>
    </row>
    <row r="221" spans="5:6">
      <c r="E221" s="5"/>
      <c r="F221" s="5"/>
    </row>
    <row r="222" spans="5:6">
      <c r="E222" s="5"/>
      <c r="F222" s="5"/>
    </row>
    <row r="223" spans="5:6">
      <c r="E223" s="5"/>
      <c r="F223" s="5"/>
    </row>
    <row r="224" spans="5:6">
      <c r="E224" s="5"/>
      <c r="F224" s="5"/>
    </row>
    <row r="225" spans="5:6">
      <c r="E225" s="5"/>
      <c r="F225" s="5"/>
    </row>
    <row r="226" spans="5:6">
      <c r="E226" s="5"/>
      <c r="F226" s="5"/>
    </row>
    <row r="227" spans="5:6">
      <c r="E227" s="5"/>
      <c r="F227" s="5"/>
    </row>
    <row r="228" spans="5:6">
      <c r="E228" s="5"/>
      <c r="F228" s="5"/>
    </row>
    <row r="229" spans="5:6">
      <c r="E229" s="5"/>
      <c r="F229" s="5"/>
    </row>
    <row r="230" spans="5:6">
      <c r="E230" s="5"/>
      <c r="F230" s="5"/>
    </row>
    <row r="231" spans="5:6">
      <c r="E231" s="5"/>
      <c r="F231" s="5"/>
    </row>
    <row r="232" spans="5:6">
      <c r="E232" s="5"/>
      <c r="F232" s="5"/>
    </row>
    <row r="233" spans="5:6">
      <c r="E233" s="5"/>
      <c r="F233" s="5"/>
    </row>
    <row r="234" spans="5:6">
      <c r="E234" s="5"/>
      <c r="F234" s="5"/>
    </row>
    <row r="235" spans="5:6">
      <c r="E235" s="5"/>
      <c r="F235" s="5"/>
    </row>
    <row r="236" spans="5:6">
      <c r="E236" s="5"/>
      <c r="F236" s="5"/>
    </row>
    <row r="237" spans="5:6">
      <c r="E237" s="5"/>
      <c r="F237" s="5"/>
    </row>
    <row r="238" spans="5:6">
      <c r="E238" s="5"/>
      <c r="F238" s="5"/>
    </row>
    <row r="239" spans="5:6">
      <c r="E239" s="5"/>
      <c r="F239" s="5"/>
    </row>
    <row r="240" spans="5:6">
      <c r="E240" s="5"/>
      <c r="F240" s="5"/>
    </row>
    <row r="241" spans="5:6">
      <c r="E241" s="5"/>
      <c r="F241" s="5"/>
    </row>
    <row r="242" spans="5:6">
      <c r="E242" s="5"/>
      <c r="F242" s="5"/>
    </row>
    <row r="243" spans="5:6">
      <c r="E243" s="5"/>
      <c r="F243" s="5"/>
    </row>
    <row r="244" spans="5:6">
      <c r="E244" s="5"/>
      <c r="F244" s="5"/>
    </row>
    <row r="245" spans="5:6">
      <c r="E245" s="5"/>
      <c r="F245" s="5"/>
    </row>
    <row r="246" spans="5:6">
      <c r="E246" s="5"/>
      <c r="F246" s="5"/>
    </row>
    <row r="247" spans="5:6">
      <c r="E247" s="5"/>
      <c r="F247" s="5"/>
    </row>
    <row r="248" spans="5:6">
      <c r="E248" s="5"/>
      <c r="F248" s="5"/>
    </row>
    <row r="249" spans="5:6">
      <c r="E249" s="5"/>
      <c r="F249" s="5"/>
    </row>
    <row r="250" spans="5:6">
      <c r="E250" s="5"/>
      <c r="F250" s="5"/>
    </row>
    <row r="251" spans="5:6">
      <c r="E251" s="5"/>
      <c r="F251" s="5"/>
    </row>
    <row r="252" spans="5:6">
      <c r="E252" s="5"/>
      <c r="F252" s="5"/>
    </row>
    <row r="253" spans="5:6">
      <c r="E253" s="5"/>
      <c r="F253" s="5"/>
    </row>
    <row r="254" spans="5:6">
      <c r="E254" s="5"/>
      <c r="F254" s="5"/>
    </row>
    <row r="255" spans="5:6">
      <c r="E255" s="5"/>
      <c r="F255" s="5"/>
    </row>
    <row r="256" spans="5:6">
      <c r="E256" s="5"/>
      <c r="F256" s="5"/>
    </row>
    <row r="257" spans="5:6">
      <c r="E257" s="5"/>
      <c r="F257" s="5"/>
    </row>
    <row r="258" spans="5:6">
      <c r="E258" s="5"/>
      <c r="F258" s="5"/>
    </row>
    <row r="259" spans="5:6">
      <c r="E259" s="5"/>
      <c r="F259" s="5"/>
    </row>
    <row r="260" spans="5:6">
      <c r="E260" s="5"/>
      <c r="F260" s="5"/>
    </row>
    <row r="261" spans="5:6">
      <c r="E261" s="5"/>
      <c r="F261" s="5"/>
    </row>
    <row r="262" spans="5:6">
      <c r="E262" s="5"/>
      <c r="F262" s="5"/>
    </row>
    <row r="263" spans="5:6">
      <c r="E263" s="5"/>
      <c r="F263" s="5"/>
    </row>
    <row r="264" spans="5:6">
      <c r="E264" s="5"/>
      <c r="F264" s="5"/>
    </row>
    <row r="265" spans="5:6">
      <c r="E265" s="5"/>
      <c r="F265" s="5"/>
    </row>
    <row r="266" spans="5:6">
      <c r="E266" s="5"/>
      <c r="F266" s="5"/>
    </row>
    <row r="267" spans="5:6">
      <c r="E267" s="5"/>
      <c r="F267" s="5"/>
    </row>
    <row r="268" spans="5:6">
      <c r="E268" s="5"/>
      <c r="F268" s="5"/>
    </row>
    <row r="269" spans="5:6">
      <c r="E269" s="5"/>
      <c r="F269" s="5"/>
    </row>
    <row r="270" spans="5:6">
      <c r="E270" s="5"/>
      <c r="F270" s="5"/>
    </row>
    <row r="271" spans="5:6">
      <c r="E271" s="5"/>
      <c r="F271" s="5"/>
    </row>
    <row r="272" spans="5:6">
      <c r="E272" s="5"/>
      <c r="F272" s="5"/>
    </row>
    <row r="273" spans="5:6">
      <c r="E273" s="5"/>
      <c r="F273" s="5"/>
    </row>
    <row r="274" spans="5:6">
      <c r="E274" s="5"/>
      <c r="F274" s="5"/>
    </row>
    <row r="275" spans="5:6">
      <c r="E275" s="5"/>
      <c r="F275" s="5"/>
    </row>
    <row r="276" spans="5:6">
      <c r="E276" s="5"/>
      <c r="F276" s="5"/>
    </row>
    <row r="277" spans="5:6">
      <c r="E277" s="5"/>
      <c r="F277" s="5"/>
    </row>
    <row r="278" spans="5:6">
      <c r="E278" s="5"/>
      <c r="F278" s="5"/>
    </row>
    <row r="279" spans="5:6">
      <c r="E279" s="5"/>
      <c r="F279" s="5"/>
    </row>
    <row r="280" spans="5:6">
      <c r="E280" s="5"/>
      <c r="F280" s="5"/>
    </row>
    <row r="281" spans="5:6">
      <c r="E281" s="5"/>
      <c r="F281" s="5"/>
    </row>
    <row r="282" spans="5:6">
      <c r="E282" s="5"/>
      <c r="F282" s="5"/>
    </row>
    <row r="283" spans="5:6">
      <c r="E283" s="5"/>
      <c r="F283" s="5"/>
    </row>
    <row r="284" spans="5:6">
      <c r="E284" s="5"/>
      <c r="F284" s="5"/>
    </row>
    <row r="285" spans="5:6">
      <c r="E285" s="5"/>
      <c r="F285" s="5"/>
    </row>
    <row r="286" spans="5:6">
      <c r="E286" s="5"/>
      <c r="F286" s="5"/>
    </row>
    <row r="287" spans="5:6">
      <c r="E287" s="5"/>
      <c r="F287" s="5"/>
    </row>
    <row r="288" spans="5:6">
      <c r="E288" s="5"/>
      <c r="F288" s="5"/>
    </row>
    <row r="289" spans="5:6">
      <c r="E289" s="5"/>
      <c r="F289" s="5"/>
    </row>
    <row r="290" spans="5:6">
      <c r="E290" s="5"/>
      <c r="F290" s="5"/>
    </row>
    <row r="291" spans="5:6">
      <c r="E291" s="5"/>
      <c r="F291" s="5"/>
    </row>
    <row r="292" spans="5:6">
      <c r="E292" s="5"/>
      <c r="F292" s="5"/>
    </row>
    <row r="293" spans="5:6">
      <c r="E293" s="5"/>
      <c r="F293" s="5"/>
    </row>
    <row r="294" spans="5:6">
      <c r="E294" s="5"/>
      <c r="F294" s="5"/>
    </row>
    <row r="295" spans="5:6">
      <c r="E295" s="5"/>
      <c r="F295" s="5"/>
    </row>
    <row r="296" spans="5:6">
      <c r="E296" s="5"/>
      <c r="F296" s="5"/>
    </row>
    <row r="297" spans="5:6">
      <c r="E297" s="5"/>
      <c r="F297" s="5"/>
    </row>
    <row r="298" spans="5:6">
      <c r="E298" s="5"/>
      <c r="F298" s="5"/>
    </row>
    <row r="299" spans="5:6">
      <c r="E299" s="5"/>
      <c r="F299" s="5"/>
    </row>
    <row r="300" spans="5:6">
      <c r="E300" s="5"/>
      <c r="F300" s="5"/>
    </row>
    <row r="301" spans="5:6">
      <c r="E301" s="5"/>
      <c r="F301" s="5"/>
    </row>
    <row r="302" spans="5:6">
      <c r="E302" s="5"/>
      <c r="F302" s="5"/>
    </row>
    <row r="303" spans="5:6">
      <c r="E303" s="5"/>
      <c r="F303" s="5"/>
    </row>
    <row r="304" spans="5:6">
      <c r="E304" s="5"/>
      <c r="F304" s="5"/>
    </row>
    <row r="305" spans="5:6">
      <c r="E305" s="5"/>
      <c r="F305" s="5"/>
    </row>
    <row r="306" spans="5:6">
      <c r="E306" s="5"/>
      <c r="F306" s="5"/>
    </row>
    <row r="307" spans="5:6">
      <c r="E307" s="5"/>
      <c r="F307" s="5"/>
    </row>
    <row r="308" spans="5:6">
      <c r="E308" s="5"/>
      <c r="F308" s="5"/>
    </row>
    <row r="309" spans="5:6">
      <c r="E309" s="5"/>
      <c r="F309" s="5"/>
    </row>
    <row r="310" spans="5:6">
      <c r="E310" s="5"/>
      <c r="F310" s="5"/>
    </row>
    <row r="311" spans="5:6">
      <c r="E311" s="5"/>
      <c r="F311" s="5"/>
    </row>
    <row r="312" spans="5:6">
      <c r="E312" s="5"/>
      <c r="F312" s="5"/>
    </row>
    <row r="313" spans="5:6">
      <c r="E313" s="5"/>
      <c r="F313" s="5"/>
    </row>
    <row r="314" spans="5:6">
      <c r="E314" s="5"/>
      <c r="F314" s="5"/>
    </row>
    <row r="315" spans="5:6">
      <c r="E315" s="5"/>
      <c r="F315" s="5"/>
    </row>
    <row r="316" spans="5:6">
      <c r="E316" s="5"/>
      <c r="F316" s="5"/>
    </row>
    <row r="317" spans="5:6">
      <c r="E317" s="5"/>
      <c r="F317" s="5"/>
    </row>
    <row r="318" spans="5:6">
      <c r="E318" s="5"/>
      <c r="F318" s="5"/>
    </row>
    <row r="319" spans="5:6">
      <c r="E319" s="5"/>
      <c r="F319" s="5"/>
    </row>
    <row r="320" spans="5:6">
      <c r="E320" s="5"/>
      <c r="F320" s="5"/>
    </row>
    <row r="321" spans="5:6">
      <c r="E321" s="5"/>
      <c r="F321" s="5"/>
    </row>
    <row r="322" spans="5:6">
      <c r="E322" s="5"/>
      <c r="F322" s="5"/>
    </row>
    <row r="323" spans="5:6">
      <c r="E323" s="5"/>
      <c r="F323" s="5"/>
    </row>
    <row r="324" spans="5:6">
      <c r="E324" s="5"/>
      <c r="F324" s="5"/>
    </row>
    <row r="325" spans="5:6">
      <c r="E325" s="5"/>
      <c r="F325" s="5"/>
    </row>
    <row r="326" spans="5:6">
      <c r="E326" s="5"/>
      <c r="F326" s="5"/>
    </row>
    <row r="327" spans="5:6">
      <c r="E327" s="5"/>
      <c r="F327" s="5"/>
    </row>
    <row r="328" spans="5:6">
      <c r="E328" s="5"/>
      <c r="F328" s="5"/>
    </row>
    <row r="329" spans="5:6">
      <c r="E329" s="5"/>
      <c r="F329" s="5"/>
    </row>
    <row r="330" spans="5:6">
      <c r="E330" s="5"/>
      <c r="F330" s="5"/>
    </row>
    <row r="331" spans="5:6">
      <c r="E331" s="5"/>
      <c r="F331" s="5"/>
    </row>
  </sheetData>
  <mergeCells count="4">
    <mergeCell ref="A7:F7"/>
    <mergeCell ref="A4:F4"/>
    <mergeCell ref="A5:F5"/>
    <mergeCell ref="A6:F6"/>
  </mergeCells>
  <phoneticPr fontId="5" type="noConversion"/>
  <pageMargins left="0.75" right="0.75" top="1" bottom="1" header="0.5" footer="0.5"/>
  <pageSetup scale="88"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rgb="FFFF0000"/>
    <pageSetUpPr fitToPage="1"/>
  </sheetPr>
  <dimension ref="A1:E300"/>
  <sheetViews>
    <sheetView workbookViewId="0">
      <selection activeCell="A4" sqref="A4:E4"/>
    </sheetView>
  </sheetViews>
  <sheetFormatPr defaultRowHeight="12.75"/>
  <cols>
    <col min="1" max="1" width="4.42578125" bestFit="1" customWidth="1"/>
    <col min="2" max="2" width="41.5703125" bestFit="1" customWidth="1"/>
    <col min="3" max="3" width="10.28515625" style="23" bestFit="1" customWidth="1"/>
    <col min="4" max="4" width="11.42578125" bestFit="1" customWidth="1"/>
    <col min="5" max="5" width="16.5703125" bestFit="1" customWidth="1"/>
  </cols>
  <sheetData>
    <row r="1" spans="1:5">
      <c r="E1" t="str">
        <f>'Title Input and Macros'!B7</f>
        <v>Docket No. RP16-299-000</v>
      </c>
    </row>
    <row r="2" spans="1:5">
      <c r="E2" t="s">
        <v>421</v>
      </c>
    </row>
    <row r="4" spans="1:5">
      <c r="A4" s="929" t="str">
        <f>'Sched H-1 (2)(e)'!A4:F4</f>
        <v>Tuscarora Gas Transmission Company</v>
      </c>
      <c r="B4" s="927"/>
      <c r="C4" s="927"/>
      <c r="D4" s="927"/>
      <c r="E4" s="927"/>
    </row>
    <row r="5" spans="1:5">
      <c r="A5" s="927" t="s">
        <v>422</v>
      </c>
      <c r="B5" s="927"/>
      <c r="C5" s="927"/>
      <c r="D5" s="927"/>
      <c r="E5" s="927"/>
    </row>
    <row r="6" spans="1:5">
      <c r="A6" s="929" t="str">
        <f>'Title Input and Macros'!B9</f>
        <v>For the Twelve Months Ended December 31, 2015, As Adjusted</v>
      </c>
      <c r="B6" s="927"/>
      <c r="C6" s="927"/>
      <c r="D6" s="927"/>
      <c r="E6" s="927"/>
    </row>
    <row r="7" spans="1:5">
      <c r="A7" s="929"/>
      <c r="B7" s="929"/>
      <c r="C7" s="929"/>
      <c r="D7" s="929"/>
      <c r="E7" s="929"/>
    </row>
    <row r="8" spans="1:5" s="2" customFormat="1">
      <c r="C8" s="23"/>
    </row>
    <row r="9" spans="1:5">
      <c r="B9" s="139" t="s">
        <v>806</v>
      </c>
      <c r="D9" s="5"/>
      <c r="E9" s="5"/>
    </row>
    <row r="10" spans="1:5">
      <c r="D10" s="5"/>
      <c r="E10" s="5"/>
    </row>
    <row r="11" spans="1:5">
      <c r="D11" s="5"/>
      <c r="E11" s="5"/>
    </row>
    <row r="12" spans="1:5">
      <c r="D12" s="5"/>
      <c r="E12" s="5"/>
    </row>
    <row r="13" spans="1:5">
      <c r="D13" s="5"/>
      <c r="E13" s="5"/>
    </row>
    <row r="14" spans="1:5">
      <c r="D14" s="5"/>
      <c r="E14" s="5"/>
    </row>
    <row r="15" spans="1:5">
      <c r="D15" s="5"/>
      <c r="E15" s="5"/>
    </row>
    <row r="16" spans="1:5">
      <c r="D16" s="5"/>
      <c r="E16" s="5"/>
    </row>
    <row r="17" spans="4:5">
      <c r="D17" s="5"/>
      <c r="E17" s="5"/>
    </row>
    <row r="18" spans="4:5">
      <c r="D18" s="5"/>
      <c r="E18" s="5"/>
    </row>
    <row r="19" spans="4:5">
      <c r="D19" s="5"/>
      <c r="E19" s="5"/>
    </row>
    <row r="20" spans="4:5">
      <c r="D20" s="5"/>
      <c r="E20" s="5"/>
    </row>
    <row r="21" spans="4:5">
      <c r="D21" s="5"/>
      <c r="E21" s="5"/>
    </row>
    <row r="22" spans="4:5">
      <c r="D22" s="5"/>
      <c r="E22" s="5"/>
    </row>
    <row r="23" spans="4:5">
      <c r="D23" s="5"/>
      <c r="E23" s="5"/>
    </row>
    <row r="24" spans="4:5">
      <c r="D24" s="5"/>
      <c r="E24" s="5"/>
    </row>
    <row r="25" spans="4:5">
      <c r="D25" s="5"/>
      <c r="E25" s="5"/>
    </row>
    <row r="26" spans="4:5">
      <c r="D26" s="5"/>
      <c r="E26" s="5"/>
    </row>
    <row r="27" spans="4:5">
      <c r="D27" s="5"/>
      <c r="E27" s="5"/>
    </row>
    <row r="28" spans="4:5">
      <c r="D28" s="5"/>
      <c r="E28" s="5"/>
    </row>
    <row r="29" spans="4:5">
      <c r="D29" s="5"/>
      <c r="E29" s="5"/>
    </row>
    <row r="30" spans="4:5">
      <c r="D30" s="5"/>
      <c r="E30" s="5"/>
    </row>
    <row r="31" spans="4:5">
      <c r="D31" s="5"/>
      <c r="E31" s="5"/>
    </row>
    <row r="32" spans="4:5">
      <c r="D32" s="5"/>
      <c r="E32" s="5"/>
    </row>
    <row r="33" spans="4:5">
      <c r="D33" s="5"/>
      <c r="E33" s="5"/>
    </row>
    <row r="34" spans="4:5">
      <c r="D34" s="5"/>
      <c r="E34" s="5"/>
    </row>
    <row r="35" spans="4:5">
      <c r="D35" s="5"/>
      <c r="E35" s="5"/>
    </row>
    <row r="36" spans="4:5">
      <c r="D36" s="5"/>
      <c r="E36" s="5"/>
    </row>
    <row r="37" spans="4:5">
      <c r="D37" s="5"/>
      <c r="E37" s="5"/>
    </row>
    <row r="38" spans="4:5">
      <c r="D38" s="5"/>
      <c r="E38" s="5"/>
    </row>
    <row r="39" spans="4:5">
      <c r="D39" s="5"/>
      <c r="E39" s="5"/>
    </row>
    <row r="40" spans="4:5">
      <c r="D40" s="5"/>
      <c r="E40" s="5"/>
    </row>
    <row r="41" spans="4:5">
      <c r="D41" s="5"/>
      <c r="E41" s="5"/>
    </row>
    <row r="42" spans="4:5">
      <c r="D42" s="5"/>
      <c r="E42" s="5"/>
    </row>
    <row r="43" spans="4:5">
      <c r="D43" s="5"/>
      <c r="E43" s="5"/>
    </row>
    <row r="44" spans="4:5">
      <c r="D44" s="5"/>
      <c r="E44" s="5"/>
    </row>
    <row r="45" spans="4:5">
      <c r="D45" s="5"/>
      <c r="E45" s="5"/>
    </row>
    <row r="46" spans="4:5">
      <c r="D46" s="5"/>
      <c r="E46" s="5"/>
    </row>
    <row r="47" spans="4:5">
      <c r="D47" s="5"/>
      <c r="E47" s="5"/>
    </row>
    <row r="48" spans="4:5">
      <c r="D48" s="5"/>
      <c r="E48" s="5"/>
    </row>
    <row r="49" spans="4:5">
      <c r="D49" s="5"/>
      <c r="E49" s="5"/>
    </row>
    <row r="50" spans="4:5">
      <c r="D50" s="5"/>
      <c r="E50" s="5"/>
    </row>
    <row r="51" spans="4:5">
      <c r="D51" s="5"/>
      <c r="E51" s="5"/>
    </row>
    <row r="52" spans="4:5">
      <c r="D52" s="5"/>
      <c r="E52" s="5"/>
    </row>
    <row r="53" spans="4:5">
      <c r="D53" s="5"/>
      <c r="E53" s="5"/>
    </row>
    <row r="54" spans="4:5">
      <c r="D54" s="5"/>
      <c r="E54" s="5"/>
    </row>
    <row r="55" spans="4:5">
      <c r="D55" s="5"/>
      <c r="E55" s="5"/>
    </row>
    <row r="56" spans="4:5">
      <c r="D56" s="5"/>
      <c r="E56" s="5"/>
    </row>
    <row r="57" spans="4:5">
      <c r="D57" s="5"/>
      <c r="E57" s="5"/>
    </row>
    <row r="58" spans="4:5">
      <c r="D58" s="5"/>
      <c r="E58" s="5"/>
    </row>
    <row r="59" spans="4:5">
      <c r="D59" s="5"/>
      <c r="E59" s="5"/>
    </row>
    <row r="60" spans="4:5">
      <c r="D60" s="5"/>
      <c r="E60" s="5"/>
    </row>
    <row r="61" spans="4:5">
      <c r="D61" s="5"/>
      <c r="E61" s="5"/>
    </row>
    <row r="62" spans="4:5">
      <c r="D62" s="5"/>
      <c r="E62" s="5"/>
    </row>
    <row r="63" spans="4:5">
      <c r="D63" s="5"/>
      <c r="E63" s="5"/>
    </row>
    <row r="64" spans="4:5">
      <c r="D64" s="5"/>
      <c r="E64" s="5"/>
    </row>
    <row r="65" spans="4:5">
      <c r="D65" s="5"/>
      <c r="E65" s="5"/>
    </row>
    <row r="66" spans="4:5">
      <c r="D66" s="5"/>
      <c r="E66" s="5"/>
    </row>
    <row r="67" spans="4:5">
      <c r="D67" s="5"/>
      <c r="E67" s="5"/>
    </row>
    <row r="68" spans="4:5">
      <c r="D68" s="5"/>
      <c r="E68" s="5"/>
    </row>
    <row r="69" spans="4:5">
      <c r="D69" s="5"/>
      <c r="E69" s="5"/>
    </row>
    <row r="70" spans="4:5">
      <c r="D70" s="5"/>
      <c r="E70" s="5"/>
    </row>
    <row r="71" spans="4:5">
      <c r="D71" s="5"/>
      <c r="E71" s="5"/>
    </row>
    <row r="72" spans="4:5">
      <c r="D72" s="5"/>
      <c r="E72" s="5"/>
    </row>
    <row r="73" spans="4:5">
      <c r="D73" s="5"/>
      <c r="E73" s="5"/>
    </row>
    <row r="74" spans="4:5">
      <c r="D74" s="5"/>
      <c r="E74" s="5"/>
    </row>
    <row r="75" spans="4:5">
      <c r="D75" s="5"/>
      <c r="E75" s="5"/>
    </row>
    <row r="76" spans="4:5">
      <c r="D76" s="5"/>
      <c r="E76" s="5"/>
    </row>
    <row r="77" spans="4:5">
      <c r="D77" s="5"/>
      <c r="E77" s="5"/>
    </row>
    <row r="78" spans="4:5">
      <c r="D78" s="5"/>
      <c r="E78" s="5"/>
    </row>
    <row r="79" spans="4:5">
      <c r="D79" s="5"/>
      <c r="E79" s="5"/>
    </row>
    <row r="80" spans="4:5">
      <c r="D80" s="5"/>
      <c r="E80" s="5"/>
    </row>
    <row r="81" spans="4:5">
      <c r="D81" s="5"/>
      <c r="E81" s="5"/>
    </row>
    <row r="82" spans="4:5">
      <c r="D82" s="5"/>
      <c r="E82" s="5"/>
    </row>
    <row r="83" spans="4:5">
      <c r="D83" s="5"/>
      <c r="E83" s="5"/>
    </row>
    <row r="84" spans="4:5">
      <c r="D84" s="5"/>
      <c r="E84" s="5"/>
    </row>
    <row r="85" spans="4:5">
      <c r="D85" s="5"/>
      <c r="E85" s="5"/>
    </row>
    <row r="86" spans="4:5">
      <c r="D86" s="5"/>
      <c r="E86" s="5"/>
    </row>
    <row r="87" spans="4:5">
      <c r="D87" s="5"/>
      <c r="E87" s="5"/>
    </row>
    <row r="88" spans="4:5">
      <c r="D88" s="5"/>
      <c r="E88" s="5"/>
    </row>
    <row r="89" spans="4:5">
      <c r="D89" s="5"/>
      <c r="E89" s="5"/>
    </row>
    <row r="90" spans="4:5">
      <c r="D90" s="5"/>
      <c r="E90" s="5"/>
    </row>
    <row r="91" spans="4:5">
      <c r="D91" s="5"/>
      <c r="E91" s="5"/>
    </row>
    <row r="92" spans="4:5">
      <c r="D92" s="5"/>
      <c r="E92" s="5"/>
    </row>
    <row r="93" spans="4:5">
      <c r="D93" s="5"/>
      <c r="E93" s="5"/>
    </row>
    <row r="94" spans="4:5">
      <c r="D94" s="5"/>
      <c r="E94" s="5"/>
    </row>
    <row r="95" spans="4:5">
      <c r="D95" s="5"/>
      <c r="E95" s="5"/>
    </row>
    <row r="96" spans="4:5">
      <c r="D96" s="5"/>
      <c r="E96" s="5"/>
    </row>
    <row r="97" spans="4:5">
      <c r="D97" s="5"/>
      <c r="E97" s="5"/>
    </row>
    <row r="98" spans="4:5">
      <c r="D98" s="5"/>
      <c r="E98" s="5"/>
    </row>
    <row r="99" spans="4:5">
      <c r="D99" s="5"/>
      <c r="E99" s="5"/>
    </row>
    <row r="100" spans="4:5">
      <c r="D100" s="5"/>
      <c r="E100" s="5"/>
    </row>
    <row r="101" spans="4:5">
      <c r="D101" s="5"/>
      <c r="E101" s="5"/>
    </row>
    <row r="102" spans="4:5">
      <c r="D102" s="5"/>
      <c r="E102" s="5"/>
    </row>
    <row r="103" spans="4:5">
      <c r="D103" s="5"/>
      <c r="E103" s="5"/>
    </row>
    <row r="104" spans="4:5">
      <c r="D104" s="5"/>
      <c r="E104" s="5"/>
    </row>
    <row r="105" spans="4:5">
      <c r="D105" s="5"/>
      <c r="E105" s="5"/>
    </row>
    <row r="106" spans="4:5">
      <c r="D106" s="5"/>
      <c r="E106" s="5"/>
    </row>
    <row r="107" spans="4:5">
      <c r="D107" s="5"/>
      <c r="E107" s="5"/>
    </row>
    <row r="108" spans="4:5">
      <c r="D108" s="5"/>
      <c r="E108" s="5"/>
    </row>
    <row r="109" spans="4:5">
      <c r="D109" s="5"/>
      <c r="E109" s="5"/>
    </row>
    <row r="110" spans="4:5">
      <c r="D110" s="5"/>
      <c r="E110" s="5"/>
    </row>
    <row r="111" spans="4:5">
      <c r="D111" s="5"/>
      <c r="E111" s="5"/>
    </row>
    <row r="112" spans="4:5">
      <c r="D112" s="5"/>
      <c r="E112" s="5"/>
    </row>
    <row r="113" spans="4:5">
      <c r="D113" s="5"/>
      <c r="E113" s="5"/>
    </row>
    <row r="114" spans="4:5">
      <c r="D114" s="5"/>
      <c r="E114" s="5"/>
    </row>
    <row r="115" spans="4:5">
      <c r="D115" s="5"/>
      <c r="E115" s="5"/>
    </row>
    <row r="116" spans="4:5">
      <c r="D116" s="5"/>
      <c r="E116" s="5"/>
    </row>
    <row r="117" spans="4:5">
      <c r="D117" s="5"/>
      <c r="E117" s="5"/>
    </row>
    <row r="118" spans="4:5">
      <c r="D118" s="5"/>
      <c r="E118" s="5"/>
    </row>
    <row r="119" spans="4:5">
      <c r="D119" s="5"/>
      <c r="E119" s="5"/>
    </row>
    <row r="120" spans="4:5">
      <c r="D120" s="5"/>
      <c r="E120" s="5"/>
    </row>
    <row r="121" spans="4:5">
      <c r="D121" s="5"/>
      <c r="E121" s="5"/>
    </row>
    <row r="122" spans="4:5">
      <c r="D122" s="5"/>
      <c r="E122" s="5"/>
    </row>
    <row r="123" spans="4:5">
      <c r="D123" s="5"/>
      <c r="E123" s="5"/>
    </row>
    <row r="124" spans="4:5">
      <c r="D124" s="5"/>
      <c r="E124" s="5"/>
    </row>
    <row r="125" spans="4:5">
      <c r="D125" s="5"/>
      <c r="E125" s="5"/>
    </row>
    <row r="126" spans="4:5">
      <c r="D126" s="5"/>
      <c r="E126" s="5"/>
    </row>
    <row r="127" spans="4:5">
      <c r="D127" s="5"/>
      <c r="E127" s="5"/>
    </row>
    <row r="128" spans="4:5">
      <c r="D128" s="5"/>
      <c r="E128" s="5"/>
    </row>
    <row r="129" spans="4:5">
      <c r="D129" s="5"/>
      <c r="E129" s="5"/>
    </row>
    <row r="130" spans="4:5">
      <c r="D130" s="5"/>
      <c r="E130" s="5"/>
    </row>
    <row r="131" spans="4:5">
      <c r="D131" s="5"/>
      <c r="E131" s="5"/>
    </row>
    <row r="132" spans="4:5">
      <c r="D132" s="5"/>
      <c r="E132" s="5"/>
    </row>
    <row r="133" spans="4:5">
      <c r="D133" s="5"/>
      <c r="E133" s="5"/>
    </row>
    <row r="134" spans="4:5">
      <c r="D134" s="5"/>
      <c r="E134" s="5"/>
    </row>
    <row r="135" spans="4:5">
      <c r="D135" s="5"/>
      <c r="E135" s="5"/>
    </row>
    <row r="136" spans="4:5">
      <c r="D136" s="5"/>
      <c r="E136" s="5"/>
    </row>
    <row r="137" spans="4:5">
      <c r="D137" s="5"/>
      <c r="E137" s="5"/>
    </row>
    <row r="138" spans="4:5">
      <c r="D138" s="5"/>
      <c r="E138" s="5"/>
    </row>
    <row r="139" spans="4:5">
      <c r="D139" s="5"/>
      <c r="E139" s="5"/>
    </row>
    <row r="140" spans="4:5">
      <c r="D140" s="5"/>
      <c r="E140" s="5"/>
    </row>
    <row r="141" spans="4:5">
      <c r="D141" s="5"/>
      <c r="E141" s="5"/>
    </row>
    <row r="142" spans="4:5">
      <c r="D142" s="5"/>
      <c r="E142" s="5"/>
    </row>
    <row r="143" spans="4:5">
      <c r="D143" s="5"/>
      <c r="E143" s="5"/>
    </row>
    <row r="144" spans="4:5">
      <c r="D144" s="5"/>
      <c r="E144" s="5"/>
    </row>
    <row r="145" spans="4:5">
      <c r="D145" s="5"/>
      <c r="E145" s="5"/>
    </row>
    <row r="146" spans="4:5">
      <c r="D146" s="5"/>
      <c r="E146" s="5"/>
    </row>
    <row r="147" spans="4:5">
      <c r="D147" s="5"/>
      <c r="E147" s="5"/>
    </row>
    <row r="148" spans="4:5">
      <c r="D148" s="5"/>
      <c r="E148" s="5"/>
    </row>
    <row r="149" spans="4:5">
      <c r="D149" s="5"/>
      <c r="E149" s="5"/>
    </row>
    <row r="150" spans="4:5">
      <c r="D150" s="5"/>
      <c r="E150" s="5"/>
    </row>
    <row r="151" spans="4:5">
      <c r="D151" s="5"/>
      <c r="E151" s="5"/>
    </row>
    <row r="152" spans="4:5">
      <c r="D152" s="5"/>
      <c r="E152" s="5"/>
    </row>
    <row r="153" spans="4:5">
      <c r="D153" s="5"/>
      <c r="E153" s="5"/>
    </row>
    <row r="154" spans="4:5">
      <c r="D154" s="5"/>
      <c r="E154" s="5"/>
    </row>
    <row r="155" spans="4:5">
      <c r="D155" s="5"/>
      <c r="E155" s="5"/>
    </row>
    <row r="156" spans="4:5">
      <c r="D156" s="5"/>
      <c r="E156" s="5"/>
    </row>
    <row r="157" spans="4:5">
      <c r="D157" s="5"/>
      <c r="E157" s="5"/>
    </row>
    <row r="158" spans="4:5">
      <c r="D158" s="5"/>
      <c r="E158" s="5"/>
    </row>
    <row r="159" spans="4:5">
      <c r="D159" s="5"/>
      <c r="E159" s="5"/>
    </row>
    <row r="160" spans="4:5">
      <c r="D160" s="5"/>
      <c r="E160" s="5"/>
    </row>
    <row r="161" spans="4:5">
      <c r="D161" s="5"/>
      <c r="E161" s="5"/>
    </row>
    <row r="162" spans="4:5">
      <c r="D162" s="5"/>
      <c r="E162" s="5"/>
    </row>
    <row r="163" spans="4:5">
      <c r="D163" s="5"/>
      <c r="E163" s="5"/>
    </row>
    <row r="164" spans="4:5">
      <c r="D164" s="5"/>
      <c r="E164" s="5"/>
    </row>
    <row r="165" spans="4:5">
      <c r="D165" s="5"/>
      <c r="E165" s="5"/>
    </row>
    <row r="166" spans="4:5">
      <c r="D166" s="5"/>
      <c r="E166" s="5"/>
    </row>
    <row r="167" spans="4:5">
      <c r="D167" s="5"/>
      <c r="E167" s="5"/>
    </row>
    <row r="168" spans="4:5">
      <c r="D168" s="5"/>
      <c r="E168" s="5"/>
    </row>
    <row r="169" spans="4:5">
      <c r="D169" s="5"/>
      <c r="E169" s="5"/>
    </row>
    <row r="170" spans="4:5">
      <c r="D170" s="5"/>
      <c r="E170" s="5"/>
    </row>
    <row r="171" spans="4:5">
      <c r="D171" s="5"/>
      <c r="E171" s="5"/>
    </row>
    <row r="172" spans="4:5">
      <c r="D172" s="5"/>
      <c r="E172" s="5"/>
    </row>
    <row r="173" spans="4:5">
      <c r="D173" s="5"/>
      <c r="E173" s="5"/>
    </row>
    <row r="174" spans="4:5">
      <c r="D174" s="5"/>
      <c r="E174" s="5"/>
    </row>
    <row r="175" spans="4:5">
      <c r="D175" s="5"/>
      <c r="E175" s="5"/>
    </row>
    <row r="176" spans="4:5">
      <c r="D176" s="5"/>
      <c r="E176" s="5"/>
    </row>
    <row r="177" spans="4:5">
      <c r="D177" s="5"/>
      <c r="E177" s="5"/>
    </row>
    <row r="178" spans="4:5">
      <c r="D178" s="5"/>
      <c r="E178" s="5"/>
    </row>
    <row r="179" spans="4:5">
      <c r="D179" s="5"/>
      <c r="E179" s="5"/>
    </row>
    <row r="180" spans="4:5">
      <c r="D180" s="5"/>
      <c r="E180" s="5"/>
    </row>
    <row r="181" spans="4:5">
      <c r="D181" s="5"/>
      <c r="E181" s="5"/>
    </row>
    <row r="182" spans="4:5">
      <c r="D182" s="5"/>
      <c r="E182" s="5"/>
    </row>
    <row r="183" spans="4:5">
      <c r="D183" s="5"/>
      <c r="E183" s="5"/>
    </row>
    <row r="184" spans="4:5">
      <c r="D184" s="5"/>
      <c r="E184" s="5"/>
    </row>
    <row r="185" spans="4:5">
      <c r="D185" s="5"/>
      <c r="E185" s="5"/>
    </row>
    <row r="186" spans="4:5">
      <c r="D186" s="5"/>
      <c r="E186" s="5"/>
    </row>
    <row r="187" spans="4:5">
      <c r="D187" s="5"/>
      <c r="E187" s="5"/>
    </row>
    <row r="188" spans="4:5">
      <c r="D188" s="5"/>
      <c r="E188" s="5"/>
    </row>
    <row r="189" spans="4:5">
      <c r="D189" s="5"/>
      <c r="E189" s="5"/>
    </row>
    <row r="190" spans="4:5">
      <c r="D190" s="5"/>
      <c r="E190" s="5"/>
    </row>
    <row r="191" spans="4:5">
      <c r="D191" s="5"/>
      <c r="E191" s="5"/>
    </row>
    <row r="192" spans="4:5">
      <c r="D192" s="5"/>
      <c r="E192" s="5"/>
    </row>
    <row r="193" spans="4:5">
      <c r="D193" s="5"/>
      <c r="E193" s="5"/>
    </row>
    <row r="194" spans="4:5">
      <c r="D194" s="5"/>
      <c r="E194" s="5"/>
    </row>
    <row r="195" spans="4:5">
      <c r="D195" s="5"/>
      <c r="E195" s="5"/>
    </row>
    <row r="196" spans="4:5">
      <c r="D196" s="5"/>
      <c r="E196" s="5"/>
    </row>
    <row r="197" spans="4:5">
      <c r="D197" s="5"/>
      <c r="E197" s="5"/>
    </row>
    <row r="198" spans="4:5">
      <c r="D198" s="5"/>
      <c r="E198" s="5"/>
    </row>
    <row r="199" spans="4:5">
      <c r="D199" s="5"/>
      <c r="E199" s="5"/>
    </row>
    <row r="200" spans="4:5">
      <c r="D200" s="5"/>
      <c r="E200" s="5"/>
    </row>
    <row r="201" spans="4:5">
      <c r="D201" s="5"/>
      <c r="E201" s="5"/>
    </row>
    <row r="202" spans="4:5">
      <c r="D202" s="5"/>
      <c r="E202" s="5"/>
    </row>
    <row r="203" spans="4:5">
      <c r="D203" s="5"/>
      <c r="E203" s="5"/>
    </row>
    <row r="204" spans="4:5">
      <c r="D204" s="5"/>
      <c r="E204" s="5"/>
    </row>
    <row r="205" spans="4:5">
      <c r="D205" s="5"/>
      <c r="E205" s="5"/>
    </row>
    <row r="206" spans="4:5">
      <c r="D206" s="5"/>
      <c r="E206" s="5"/>
    </row>
    <row r="207" spans="4:5">
      <c r="D207" s="5"/>
      <c r="E207" s="5"/>
    </row>
    <row r="208" spans="4:5">
      <c r="D208" s="5"/>
      <c r="E208" s="5"/>
    </row>
    <row r="209" spans="4:5">
      <c r="D209" s="5"/>
      <c r="E209" s="5"/>
    </row>
    <row r="210" spans="4:5">
      <c r="D210" s="5"/>
      <c r="E210" s="5"/>
    </row>
    <row r="211" spans="4:5">
      <c r="D211" s="5"/>
      <c r="E211" s="5"/>
    </row>
    <row r="212" spans="4:5">
      <c r="D212" s="5"/>
      <c r="E212" s="5"/>
    </row>
    <row r="213" spans="4:5">
      <c r="D213" s="5"/>
      <c r="E213" s="5"/>
    </row>
    <row r="214" spans="4:5">
      <c r="D214" s="5"/>
      <c r="E214" s="5"/>
    </row>
    <row r="215" spans="4:5">
      <c r="D215" s="5"/>
      <c r="E215" s="5"/>
    </row>
    <row r="216" spans="4:5">
      <c r="D216" s="5"/>
      <c r="E216" s="5"/>
    </row>
    <row r="217" spans="4:5">
      <c r="D217" s="5"/>
      <c r="E217" s="5"/>
    </row>
    <row r="218" spans="4:5">
      <c r="D218" s="5"/>
      <c r="E218" s="5"/>
    </row>
    <row r="219" spans="4:5">
      <c r="D219" s="5"/>
      <c r="E219" s="5"/>
    </row>
    <row r="220" spans="4:5">
      <c r="D220" s="5"/>
      <c r="E220" s="5"/>
    </row>
    <row r="221" spans="4:5">
      <c r="D221" s="5"/>
      <c r="E221" s="5"/>
    </row>
    <row r="222" spans="4:5">
      <c r="D222" s="5"/>
      <c r="E222" s="5"/>
    </row>
    <row r="223" spans="4:5">
      <c r="D223" s="5"/>
      <c r="E223" s="5"/>
    </row>
    <row r="224" spans="4:5">
      <c r="D224" s="5"/>
      <c r="E224" s="5"/>
    </row>
    <row r="225" spans="4:5">
      <c r="D225" s="5"/>
      <c r="E225" s="5"/>
    </row>
    <row r="226" spans="4:5">
      <c r="D226" s="5"/>
      <c r="E226" s="5"/>
    </row>
    <row r="227" spans="4:5">
      <c r="D227" s="5"/>
      <c r="E227" s="5"/>
    </row>
    <row r="228" spans="4:5">
      <c r="D228" s="5"/>
      <c r="E228" s="5"/>
    </row>
    <row r="229" spans="4:5">
      <c r="D229" s="5"/>
      <c r="E229" s="5"/>
    </row>
    <row r="230" spans="4:5">
      <c r="D230" s="5"/>
      <c r="E230" s="5"/>
    </row>
    <row r="231" spans="4:5">
      <c r="D231" s="5"/>
      <c r="E231" s="5"/>
    </row>
    <row r="232" spans="4:5">
      <c r="D232" s="5"/>
      <c r="E232" s="5"/>
    </row>
    <row r="233" spans="4:5">
      <c r="D233" s="5"/>
      <c r="E233" s="5"/>
    </row>
    <row r="234" spans="4:5">
      <c r="D234" s="5"/>
      <c r="E234" s="5"/>
    </row>
    <row r="235" spans="4:5">
      <c r="D235" s="5"/>
      <c r="E235" s="5"/>
    </row>
    <row r="236" spans="4:5">
      <c r="D236" s="5"/>
      <c r="E236" s="5"/>
    </row>
    <row r="237" spans="4:5">
      <c r="D237" s="5"/>
      <c r="E237" s="5"/>
    </row>
    <row r="238" spans="4:5">
      <c r="D238" s="5"/>
      <c r="E238" s="5"/>
    </row>
    <row r="239" spans="4:5">
      <c r="D239" s="5"/>
      <c r="E239" s="5"/>
    </row>
    <row r="240" spans="4:5">
      <c r="D240" s="5"/>
      <c r="E240" s="5"/>
    </row>
    <row r="241" spans="4:5">
      <c r="D241" s="5"/>
      <c r="E241" s="5"/>
    </row>
    <row r="242" spans="4:5">
      <c r="D242" s="5"/>
      <c r="E242" s="5"/>
    </row>
    <row r="243" spans="4:5">
      <c r="D243" s="5"/>
      <c r="E243" s="5"/>
    </row>
    <row r="244" spans="4:5">
      <c r="D244" s="5"/>
      <c r="E244" s="5"/>
    </row>
    <row r="245" spans="4:5">
      <c r="D245" s="5"/>
      <c r="E245" s="5"/>
    </row>
    <row r="246" spans="4:5">
      <c r="D246" s="5"/>
      <c r="E246" s="5"/>
    </row>
    <row r="247" spans="4:5">
      <c r="D247" s="5"/>
      <c r="E247" s="5"/>
    </row>
    <row r="248" spans="4:5">
      <c r="D248" s="5"/>
      <c r="E248" s="5"/>
    </row>
    <row r="249" spans="4:5">
      <c r="D249" s="5"/>
      <c r="E249" s="5"/>
    </row>
    <row r="250" spans="4:5">
      <c r="D250" s="5"/>
      <c r="E250" s="5"/>
    </row>
    <row r="251" spans="4:5">
      <c r="D251" s="5"/>
      <c r="E251" s="5"/>
    </row>
    <row r="252" spans="4:5">
      <c r="D252" s="5"/>
      <c r="E252" s="5"/>
    </row>
    <row r="253" spans="4:5">
      <c r="D253" s="5"/>
      <c r="E253" s="5"/>
    </row>
    <row r="254" spans="4:5">
      <c r="D254" s="5"/>
      <c r="E254" s="5"/>
    </row>
    <row r="255" spans="4:5">
      <c r="D255" s="5"/>
      <c r="E255" s="5"/>
    </row>
    <row r="256" spans="4:5">
      <c r="D256" s="5"/>
      <c r="E256" s="5"/>
    </row>
    <row r="257" spans="4:5">
      <c r="D257" s="5"/>
      <c r="E257" s="5"/>
    </row>
    <row r="258" spans="4:5">
      <c r="D258" s="5"/>
      <c r="E258" s="5"/>
    </row>
    <row r="259" spans="4:5">
      <c r="D259" s="5"/>
      <c r="E259" s="5"/>
    </row>
    <row r="260" spans="4:5">
      <c r="D260" s="5"/>
      <c r="E260" s="5"/>
    </row>
    <row r="261" spans="4:5">
      <c r="D261" s="5"/>
      <c r="E261" s="5"/>
    </row>
    <row r="262" spans="4:5">
      <c r="D262" s="5"/>
      <c r="E262" s="5"/>
    </row>
    <row r="263" spans="4:5">
      <c r="D263" s="5"/>
      <c r="E263" s="5"/>
    </row>
    <row r="264" spans="4:5">
      <c r="D264" s="5"/>
      <c r="E264" s="5"/>
    </row>
    <row r="265" spans="4:5">
      <c r="D265" s="5"/>
      <c r="E265" s="5"/>
    </row>
    <row r="266" spans="4:5">
      <c r="D266" s="5"/>
      <c r="E266" s="5"/>
    </row>
    <row r="267" spans="4:5">
      <c r="D267" s="5"/>
      <c r="E267" s="5"/>
    </row>
    <row r="268" spans="4:5">
      <c r="D268" s="5"/>
      <c r="E268" s="5"/>
    </row>
    <row r="269" spans="4:5">
      <c r="D269" s="5"/>
      <c r="E269" s="5"/>
    </row>
    <row r="270" spans="4:5">
      <c r="D270" s="5"/>
      <c r="E270" s="5"/>
    </row>
    <row r="271" spans="4:5">
      <c r="D271" s="5"/>
      <c r="E271" s="5"/>
    </row>
    <row r="272" spans="4:5">
      <c r="D272" s="5"/>
      <c r="E272" s="5"/>
    </row>
    <row r="273" spans="4:5">
      <c r="D273" s="5"/>
      <c r="E273" s="5"/>
    </row>
    <row r="274" spans="4:5">
      <c r="D274" s="5"/>
      <c r="E274" s="5"/>
    </row>
    <row r="275" spans="4:5">
      <c r="D275" s="5"/>
      <c r="E275" s="5"/>
    </row>
    <row r="276" spans="4:5">
      <c r="D276" s="5"/>
      <c r="E276" s="5"/>
    </row>
    <row r="277" spans="4:5">
      <c r="D277" s="5"/>
      <c r="E277" s="5"/>
    </row>
    <row r="278" spans="4:5">
      <c r="D278" s="5"/>
      <c r="E278" s="5"/>
    </row>
    <row r="279" spans="4:5">
      <c r="D279" s="5"/>
      <c r="E279" s="5"/>
    </row>
    <row r="280" spans="4:5">
      <c r="D280" s="5"/>
      <c r="E280" s="5"/>
    </row>
    <row r="281" spans="4:5">
      <c r="D281" s="5"/>
      <c r="E281" s="5"/>
    </row>
    <row r="282" spans="4:5">
      <c r="D282" s="5"/>
      <c r="E282" s="5"/>
    </row>
    <row r="283" spans="4:5">
      <c r="D283" s="5"/>
      <c r="E283" s="5"/>
    </row>
    <row r="284" spans="4:5">
      <c r="D284" s="5"/>
      <c r="E284" s="5"/>
    </row>
    <row r="285" spans="4:5">
      <c r="D285" s="5"/>
      <c r="E285" s="5"/>
    </row>
    <row r="286" spans="4:5">
      <c r="D286" s="5"/>
      <c r="E286" s="5"/>
    </row>
    <row r="287" spans="4:5">
      <c r="D287" s="5"/>
      <c r="E287" s="5"/>
    </row>
    <row r="288" spans="4:5">
      <c r="D288" s="5"/>
      <c r="E288" s="5"/>
    </row>
    <row r="289" spans="4:5">
      <c r="D289" s="5"/>
      <c r="E289" s="5"/>
    </row>
    <row r="290" spans="4:5">
      <c r="D290" s="5"/>
      <c r="E290" s="5"/>
    </row>
    <row r="291" spans="4:5">
      <c r="D291" s="5"/>
      <c r="E291" s="5"/>
    </row>
    <row r="292" spans="4:5">
      <c r="D292" s="5"/>
      <c r="E292" s="5"/>
    </row>
    <row r="293" spans="4:5">
      <c r="D293" s="5"/>
      <c r="E293" s="5"/>
    </row>
    <row r="294" spans="4:5">
      <c r="D294" s="5"/>
      <c r="E294" s="5"/>
    </row>
    <row r="295" spans="4:5">
      <c r="D295" s="5"/>
      <c r="E295" s="5"/>
    </row>
    <row r="296" spans="4:5">
      <c r="D296" s="5"/>
      <c r="E296" s="5"/>
    </row>
    <row r="297" spans="4:5">
      <c r="D297" s="5"/>
      <c r="E297" s="5"/>
    </row>
    <row r="298" spans="4:5">
      <c r="D298" s="5"/>
      <c r="E298" s="5"/>
    </row>
    <row r="299" spans="4:5">
      <c r="D299" s="5"/>
      <c r="E299" s="5"/>
    </row>
    <row r="300" spans="4:5">
      <c r="D300" s="5"/>
      <c r="E300" s="5"/>
    </row>
  </sheetData>
  <mergeCells count="4">
    <mergeCell ref="A7:E7"/>
    <mergeCell ref="A4:E4"/>
    <mergeCell ref="A5:E5"/>
    <mergeCell ref="A6:E6"/>
  </mergeCells>
  <phoneticPr fontId="5" type="noConversion"/>
  <pageMargins left="0.75" right="0.75" top="1" bottom="1" header="0.5" footer="0.5"/>
  <pageSetup scale="97"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indexed="17"/>
    <pageSetUpPr fitToPage="1"/>
  </sheetPr>
  <dimension ref="A1:L333"/>
  <sheetViews>
    <sheetView workbookViewId="0">
      <selection activeCell="A4" sqref="A4:E4"/>
    </sheetView>
  </sheetViews>
  <sheetFormatPr defaultRowHeight="12.75"/>
  <cols>
    <col min="1" max="1" width="4.42578125" bestFit="1" customWidth="1"/>
    <col min="2" max="2" width="41.5703125" bestFit="1" customWidth="1"/>
    <col min="3" max="3" width="12.7109375" style="14" customWidth="1"/>
    <col min="4" max="4" width="17.5703125" bestFit="1" customWidth="1"/>
    <col min="5" max="5" width="16.5703125" bestFit="1" customWidth="1"/>
  </cols>
  <sheetData>
    <row r="1" spans="1:12">
      <c r="E1" t="str">
        <f>'Title Input and Macros'!B7</f>
        <v>Docket No. RP16-299-000</v>
      </c>
    </row>
    <row r="2" spans="1:12">
      <c r="E2" t="s">
        <v>267</v>
      </c>
    </row>
    <row r="4" spans="1:12">
      <c r="A4" s="929" t="str">
        <f>'Sched H-1 (2)(f)'!A4:E4</f>
        <v>Tuscarora Gas Transmission Company</v>
      </c>
      <c r="B4" s="927"/>
      <c r="C4" s="927"/>
      <c r="D4" s="927"/>
      <c r="E4" s="927"/>
    </row>
    <row r="5" spans="1:12">
      <c r="A5" s="927" t="s">
        <v>268</v>
      </c>
      <c r="B5" s="927"/>
      <c r="C5" s="927"/>
      <c r="D5" s="927"/>
      <c r="E5" s="927"/>
    </row>
    <row r="6" spans="1:12">
      <c r="A6" s="929" t="str">
        <f>'Title Input and Macros'!B9</f>
        <v>For the Twelve Months Ended December 31, 2015, As Adjusted</v>
      </c>
      <c r="B6" s="927"/>
      <c r="C6" s="927"/>
      <c r="D6" s="927"/>
      <c r="E6" s="927"/>
    </row>
    <row r="7" spans="1:12">
      <c r="A7" s="929"/>
      <c r="B7" s="929"/>
      <c r="C7" s="929"/>
      <c r="D7" s="929"/>
      <c r="E7" s="929"/>
    </row>
    <row r="8" spans="1:12" s="2" customFormat="1">
      <c r="C8" s="14"/>
    </row>
    <row r="9" spans="1:12">
      <c r="A9" s="2" t="s">
        <v>352</v>
      </c>
      <c r="B9" s="2"/>
      <c r="C9" s="14" t="s">
        <v>310</v>
      </c>
      <c r="D9" s="2"/>
      <c r="E9" s="2" t="s">
        <v>326</v>
      </c>
    </row>
    <row r="10" spans="1:12">
      <c r="A10" s="3" t="s">
        <v>353</v>
      </c>
      <c r="B10" s="3" t="s">
        <v>354</v>
      </c>
      <c r="C10" s="15" t="s">
        <v>411</v>
      </c>
      <c r="D10" s="3" t="s">
        <v>401</v>
      </c>
      <c r="E10" s="3" t="s">
        <v>402</v>
      </c>
    </row>
    <row r="11" spans="1:12">
      <c r="B11" s="2" t="s">
        <v>361</v>
      </c>
      <c r="C11" s="14" t="s">
        <v>362</v>
      </c>
      <c r="D11" s="2" t="s">
        <v>366</v>
      </c>
      <c r="E11" s="2" t="s">
        <v>363</v>
      </c>
    </row>
    <row r="12" spans="1:12">
      <c r="C12" s="14" t="s">
        <v>365</v>
      </c>
      <c r="D12" s="2" t="s">
        <v>365</v>
      </c>
      <c r="E12" s="2" t="s">
        <v>365</v>
      </c>
    </row>
    <row r="13" spans="1:12">
      <c r="A13" s="542">
        <v>1</v>
      </c>
      <c r="B13" s="542" t="s">
        <v>805</v>
      </c>
      <c r="C13" s="543">
        <v>56410.61</v>
      </c>
      <c r="D13" s="590">
        <f>'H-1 ADJ'!F47</f>
        <v>-56410.61</v>
      </c>
      <c r="E13" s="325">
        <f>+C13+D13</f>
        <v>0</v>
      </c>
    </row>
    <row r="14" spans="1:12">
      <c r="A14" s="542">
        <f>A13+1</f>
        <v>2</v>
      </c>
      <c r="B14" s="532" t="s">
        <v>622</v>
      </c>
      <c r="C14" s="543">
        <v>0</v>
      </c>
      <c r="D14" s="324">
        <v>0</v>
      </c>
      <c r="E14" s="325">
        <f>+C14+D14</f>
        <v>0</v>
      </c>
    </row>
    <row r="15" spans="1:12">
      <c r="A15" s="542">
        <f>A14+1</f>
        <v>3</v>
      </c>
      <c r="B15" s="532" t="s">
        <v>739</v>
      </c>
      <c r="C15" s="543">
        <v>0</v>
      </c>
      <c r="D15" s="590">
        <f>'H-1 ADJ'!F55</f>
        <v>1800000</v>
      </c>
      <c r="E15" s="325">
        <f>+C15+D15</f>
        <v>1800000</v>
      </c>
    </row>
    <row r="16" spans="1:12" ht="13.5" thickBot="1">
      <c r="A16" s="542">
        <f>A15+1</f>
        <v>4</v>
      </c>
      <c r="B16" s="533" t="s">
        <v>343</v>
      </c>
      <c r="C16" s="247">
        <f>SUM(C13:C15)</f>
        <v>56410.61</v>
      </c>
      <c r="D16" s="247">
        <f>SUM(D13:D15)</f>
        <v>1743589.39</v>
      </c>
      <c r="E16" s="465">
        <f>SUM(E13:E15)</f>
        <v>1800000</v>
      </c>
      <c r="F16" s="9"/>
      <c r="G16" s="9"/>
      <c r="H16" s="9"/>
      <c r="I16" s="9"/>
      <c r="J16" s="9"/>
      <c r="K16" s="9"/>
      <c r="L16" s="9"/>
    </row>
    <row r="17" spans="2:5" ht="13.5" thickTop="1"/>
    <row r="19" spans="2:5">
      <c r="B19" s="542" t="s">
        <v>269</v>
      </c>
    </row>
    <row r="21" spans="2:5">
      <c r="E21" s="68"/>
    </row>
    <row r="23" spans="2:5">
      <c r="E23" s="5"/>
    </row>
    <row r="39" spans="4:5">
      <c r="D39" s="5"/>
      <c r="E39" s="5"/>
    </row>
    <row r="40" spans="4:5">
      <c r="D40" s="5"/>
      <c r="E40" s="5"/>
    </row>
    <row r="41" spans="4:5">
      <c r="D41" s="5"/>
      <c r="E41" s="5"/>
    </row>
    <row r="42" spans="4:5">
      <c r="D42" s="5"/>
      <c r="E42" s="5"/>
    </row>
    <row r="43" spans="4:5">
      <c r="D43" s="5"/>
      <c r="E43" s="5"/>
    </row>
    <row r="44" spans="4:5">
      <c r="D44" s="5"/>
      <c r="E44" s="5"/>
    </row>
    <row r="45" spans="4:5">
      <c r="D45" s="5"/>
      <c r="E45" s="5"/>
    </row>
    <row r="46" spans="4:5">
      <c r="D46" s="5"/>
      <c r="E46" s="5"/>
    </row>
    <row r="47" spans="4:5">
      <c r="D47" s="5"/>
      <c r="E47" s="5"/>
    </row>
    <row r="48" spans="4:5">
      <c r="D48" s="5"/>
      <c r="E48" s="5"/>
    </row>
    <row r="49" spans="4:5">
      <c r="D49" s="5"/>
      <c r="E49" s="5"/>
    </row>
    <row r="50" spans="4:5">
      <c r="D50" s="5"/>
      <c r="E50" s="5"/>
    </row>
    <row r="51" spans="4:5">
      <c r="D51" s="5"/>
      <c r="E51" s="5"/>
    </row>
    <row r="52" spans="4:5">
      <c r="D52" s="5"/>
      <c r="E52" s="5"/>
    </row>
    <row r="53" spans="4:5">
      <c r="D53" s="5"/>
      <c r="E53" s="5"/>
    </row>
    <row r="54" spans="4:5">
      <c r="D54" s="5"/>
      <c r="E54" s="5"/>
    </row>
    <row r="55" spans="4:5">
      <c r="D55" s="5"/>
      <c r="E55" s="5"/>
    </row>
    <row r="56" spans="4:5">
      <c r="D56" s="5"/>
      <c r="E56" s="5"/>
    </row>
    <row r="57" spans="4:5">
      <c r="D57" s="5"/>
      <c r="E57" s="5"/>
    </row>
    <row r="58" spans="4:5">
      <c r="D58" s="5"/>
      <c r="E58" s="5"/>
    </row>
    <row r="59" spans="4:5">
      <c r="D59" s="5"/>
      <c r="E59" s="5"/>
    </row>
    <row r="60" spans="4:5">
      <c r="D60" s="5"/>
      <c r="E60" s="5"/>
    </row>
    <row r="61" spans="4:5">
      <c r="D61" s="5"/>
      <c r="E61" s="5"/>
    </row>
    <row r="62" spans="4:5">
      <c r="D62" s="5"/>
      <c r="E62" s="5"/>
    </row>
    <row r="63" spans="4:5">
      <c r="D63" s="5"/>
      <c r="E63" s="5"/>
    </row>
    <row r="64" spans="4:5">
      <c r="D64" s="5"/>
      <c r="E64" s="5"/>
    </row>
    <row r="65" spans="4:5">
      <c r="D65" s="5"/>
      <c r="E65" s="5"/>
    </row>
    <row r="66" spans="4:5">
      <c r="D66" s="5"/>
      <c r="E66" s="5"/>
    </row>
    <row r="67" spans="4:5">
      <c r="D67" s="5"/>
      <c r="E67" s="5"/>
    </row>
    <row r="68" spans="4:5">
      <c r="D68" s="5"/>
      <c r="E68" s="5"/>
    </row>
    <row r="69" spans="4:5">
      <c r="D69" s="5"/>
      <c r="E69" s="5"/>
    </row>
    <row r="70" spans="4:5">
      <c r="D70" s="5"/>
      <c r="E70" s="5"/>
    </row>
    <row r="71" spans="4:5">
      <c r="D71" s="5"/>
      <c r="E71" s="5"/>
    </row>
    <row r="72" spans="4:5">
      <c r="D72" s="5"/>
      <c r="E72" s="5"/>
    </row>
    <row r="73" spans="4:5">
      <c r="D73" s="5"/>
      <c r="E73" s="5"/>
    </row>
    <row r="74" spans="4:5">
      <c r="D74" s="5"/>
      <c r="E74" s="5"/>
    </row>
    <row r="75" spans="4:5">
      <c r="D75" s="5"/>
      <c r="E75" s="5"/>
    </row>
    <row r="76" spans="4:5">
      <c r="D76" s="5"/>
      <c r="E76" s="5"/>
    </row>
    <row r="77" spans="4:5">
      <c r="D77" s="5"/>
      <c r="E77" s="5"/>
    </row>
    <row r="78" spans="4:5">
      <c r="D78" s="5"/>
      <c r="E78" s="5"/>
    </row>
    <row r="79" spans="4:5">
      <c r="D79" s="5"/>
      <c r="E79" s="5"/>
    </row>
    <row r="80" spans="4:5">
      <c r="D80" s="5"/>
      <c r="E80" s="5"/>
    </row>
    <row r="81" spans="4:5">
      <c r="D81" s="5"/>
      <c r="E81" s="5"/>
    </row>
    <row r="82" spans="4:5">
      <c r="D82" s="5"/>
      <c r="E82" s="5"/>
    </row>
    <row r="83" spans="4:5">
      <c r="D83" s="5"/>
      <c r="E83" s="5"/>
    </row>
    <row r="84" spans="4:5">
      <c r="D84" s="5"/>
      <c r="E84" s="5"/>
    </row>
    <row r="85" spans="4:5">
      <c r="D85" s="5"/>
      <c r="E85" s="5"/>
    </row>
    <row r="86" spans="4:5">
      <c r="D86" s="5"/>
      <c r="E86" s="5"/>
    </row>
    <row r="87" spans="4:5">
      <c r="D87" s="5"/>
      <c r="E87" s="5"/>
    </row>
    <row r="88" spans="4:5">
      <c r="D88" s="5"/>
      <c r="E88" s="5"/>
    </row>
    <row r="89" spans="4:5">
      <c r="D89" s="5"/>
      <c r="E89" s="5"/>
    </row>
    <row r="90" spans="4:5">
      <c r="D90" s="5"/>
      <c r="E90" s="5"/>
    </row>
    <row r="91" spans="4:5">
      <c r="D91" s="5"/>
      <c r="E91" s="5"/>
    </row>
    <row r="92" spans="4:5">
      <c r="D92" s="5"/>
      <c r="E92" s="5"/>
    </row>
    <row r="93" spans="4:5">
      <c r="D93" s="5"/>
      <c r="E93" s="5"/>
    </row>
    <row r="94" spans="4:5">
      <c r="D94" s="5"/>
      <c r="E94" s="5"/>
    </row>
    <row r="95" spans="4:5">
      <c r="D95" s="5"/>
      <c r="E95" s="5"/>
    </row>
    <row r="96" spans="4:5">
      <c r="D96" s="5"/>
      <c r="E96" s="5"/>
    </row>
    <row r="97" spans="4:5">
      <c r="D97" s="5"/>
      <c r="E97" s="5"/>
    </row>
    <row r="98" spans="4:5">
      <c r="D98" s="5"/>
      <c r="E98" s="5"/>
    </row>
    <row r="99" spans="4:5">
      <c r="D99" s="5"/>
      <c r="E99" s="5"/>
    </row>
    <row r="100" spans="4:5">
      <c r="D100" s="5"/>
      <c r="E100" s="5"/>
    </row>
    <row r="101" spans="4:5">
      <c r="D101" s="5"/>
      <c r="E101" s="5"/>
    </row>
    <row r="102" spans="4:5">
      <c r="D102" s="5"/>
      <c r="E102" s="5"/>
    </row>
    <row r="103" spans="4:5">
      <c r="D103" s="5"/>
      <c r="E103" s="5"/>
    </row>
    <row r="104" spans="4:5">
      <c r="D104" s="5"/>
      <c r="E104" s="5"/>
    </row>
    <row r="105" spans="4:5">
      <c r="D105" s="5"/>
      <c r="E105" s="5"/>
    </row>
    <row r="106" spans="4:5">
      <c r="D106" s="5"/>
      <c r="E106" s="5"/>
    </row>
    <row r="107" spans="4:5">
      <c r="D107" s="5"/>
      <c r="E107" s="5"/>
    </row>
    <row r="108" spans="4:5">
      <c r="D108" s="5"/>
      <c r="E108" s="5"/>
    </row>
    <row r="109" spans="4:5">
      <c r="D109" s="5"/>
      <c r="E109" s="5"/>
    </row>
    <row r="110" spans="4:5">
      <c r="D110" s="5"/>
      <c r="E110" s="5"/>
    </row>
    <row r="111" spans="4:5">
      <c r="D111" s="5"/>
      <c r="E111" s="5"/>
    </row>
    <row r="112" spans="4:5">
      <c r="D112" s="5"/>
      <c r="E112" s="5"/>
    </row>
    <row r="113" spans="4:5">
      <c r="D113" s="5"/>
      <c r="E113" s="5"/>
    </row>
    <row r="114" spans="4:5">
      <c r="D114" s="5"/>
      <c r="E114" s="5"/>
    </row>
    <row r="115" spans="4:5">
      <c r="D115" s="5"/>
      <c r="E115" s="5"/>
    </row>
    <row r="116" spans="4:5">
      <c r="D116" s="5"/>
      <c r="E116" s="5"/>
    </row>
    <row r="117" spans="4:5">
      <c r="D117" s="5"/>
      <c r="E117" s="5"/>
    </row>
    <row r="118" spans="4:5">
      <c r="D118" s="5"/>
      <c r="E118" s="5"/>
    </row>
    <row r="119" spans="4:5">
      <c r="D119" s="5"/>
      <c r="E119" s="5"/>
    </row>
    <row r="120" spans="4:5">
      <c r="D120" s="5"/>
      <c r="E120" s="5"/>
    </row>
    <row r="121" spans="4:5">
      <c r="D121" s="5"/>
      <c r="E121" s="5"/>
    </row>
    <row r="122" spans="4:5">
      <c r="D122" s="5"/>
      <c r="E122" s="5"/>
    </row>
    <row r="123" spans="4:5">
      <c r="D123" s="5"/>
      <c r="E123" s="5"/>
    </row>
    <row r="124" spans="4:5">
      <c r="D124" s="5"/>
      <c r="E124" s="5"/>
    </row>
    <row r="125" spans="4:5">
      <c r="D125" s="5"/>
      <c r="E125" s="5"/>
    </row>
    <row r="126" spans="4:5">
      <c r="D126" s="5"/>
      <c r="E126" s="5"/>
    </row>
    <row r="127" spans="4:5">
      <c r="D127" s="5"/>
      <c r="E127" s="5"/>
    </row>
    <row r="128" spans="4:5">
      <c r="D128" s="5"/>
      <c r="E128" s="5"/>
    </row>
    <row r="129" spans="4:5">
      <c r="D129" s="5"/>
      <c r="E129" s="5"/>
    </row>
    <row r="130" spans="4:5">
      <c r="D130" s="5"/>
      <c r="E130" s="5"/>
    </row>
    <row r="131" spans="4:5">
      <c r="D131" s="5"/>
      <c r="E131" s="5"/>
    </row>
    <row r="132" spans="4:5">
      <c r="D132" s="5"/>
      <c r="E132" s="5"/>
    </row>
    <row r="133" spans="4:5">
      <c r="D133" s="5"/>
      <c r="E133" s="5"/>
    </row>
    <row r="134" spans="4:5">
      <c r="D134" s="5"/>
      <c r="E134" s="5"/>
    </row>
    <row r="135" spans="4:5">
      <c r="D135" s="5"/>
      <c r="E135" s="5"/>
    </row>
    <row r="136" spans="4:5">
      <c r="D136" s="5"/>
      <c r="E136" s="5"/>
    </row>
    <row r="137" spans="4:5">
      <c r="D137" s="5"/>
      <c r="E137" s="5"/>
    </row>
    <row r="138" spans="4:5">
      <c r="D138" s="5"/>
      <c r="E138" s="5"/>
    </row>
    <row r="139" spans="4:5">
      <c r="D139" s="5"/>
      <c r="E139" s="5"/>
    </row>
    <row r="140" spans="4:5">
      <c r="D140" s="5"/>
      <c r="E140" s="5"/>
    </row>
    <row r="141" spans="4:5">
      <c r="D141" s="5"/>
      <c r="E141" s="5"/>
    </row>
    <row r="142" spans="4:5">
      <c r="D142" s="5"/>
      <c r="E142" s="5"/>
    </row>
    <row r="143" spans="4:5">
      <c r="D143" s="5"/>
      <c r="E143" s="5"/>
    </row>
    <row r="144" spans="4:5">
      <c r="D144" s="5"/>
      <c r="E144" s="5"/>
    </row>
    <row r="145" spans="4:5">
      <c r="D145" s="5"/>
      <c r="E145" s="5"/>
    </row>
    <row r="146" spans="4:5">
      <c r="D146" s="5"/>
      <c r="E146" s="5"/>
    </row>
    <row r="147" spans="4:5">
      <c r="D147" s="5"/>
      <c r="E147" s="5"/>
    </row>
    <row r="148" spans="4:5">
      <c r="D148" s="5"/>
      <c r="E148" s="5"/>
    </row>
    <row r="149" spans="4:5">
      <c r="D149" s="5"/>
      <c r="E149" s="5"/>
    </row>
    <row r="150" spans="4:5">
      <c r="D150" s="5"/>
      <c r="E150" s="5"/>
    </row>
    <row r="151" spans="4:5">
      <c r="D151" s="5"/>
      <c r="E151" s="5"/>
    </row>
    <row r="152" spans="4:5">
      <c r="D152" s="5"/>
      <c r="E152" s="5"/>
    </row>
    <row r="153" spans="4:5">
      <c r="D153" s="5"/>
      <c r="E153" s="5"/>
    </row>
    <row r="154" spans="4:5">
      <c r="D154" s="5"/>
      <c r="E154" s="5"/>
    </row>
    <row r="155" spans="4:5">
      <c r="D155" s="5"/>
      <c r="E155" s="5"/>
    </row>
    <row r="156" spans="4:5">
      <c r="D156" s="5"/>
      <c r="E156" s="5"/>
    </row>
    <row r="157" spans="4:5">
      <c r="D157" s="5"/>
      <c r="E157" s="5"/>
    </row>
    <row r="158" spans="4:5">
      <c r="D158" s="5"/>
      <c r="E158" s="5"/>
    </row>
    <row r="159" spans="4:5">
      <c r="D159" s="5"/>
      <c r="E159" s="5"/>
    </row>
    <row r="160" spans="4:5">
      <c r="D160" s="5"/>
      <c r="E160" s="5"/>
    </row>
    <row r="161" spans="4:5">
      <c r="D161" s="5"/>
      <c r="E161" s="5"/>
    </row>
    <row r="162" spans="4:5">
      <c r="D162" s="5"/>
      <c r="E162" s="5"/>
    </row>
    <row r="163" spans="4:5">
      <c r="D163" s="5"/>
      <c r="E163" s="5"/>
    </row>
    <row r="164" spans="4:5">
      <c r="D164" s="5"/>
      <c r="E164" s="5"/>
    </row>
    <row r="165" spans="4:5">
      <c r="D165" s="5"/>
      <c r="E165" s="5"/>
    </row>
    <row r="166" spans="4:5">
      <c r="D166" s="5"/>
      <c r="E166" s="5"/>
    </row>
    <row r="167" spans="4:5">
      <c r="D167" s="5"/>
      <c r="E167" s="5"/>
    </row>
    <row r="168" spans="4:5">
      <c r="D168" s="5"/>
      <c r="E168" s="5"/>
    </row>
    <row r="169" spans="4:5">
      <c r="D169" s="5"/>
      <c r="E169" s="5"/>
    </row>
    <row r="170" spans="4:5">
      <c r="D170" s="5"/>
      <c r="E170" s="5"/>
    </row>
    <row r="171" spans="4:5">
      <c r="D171" s="5"/>
      <c r="E171" s="5"/>
    </row>
    <row r="172" spans="4:5">
      <c r="D172" s="5"/>
      <c r="E172" s="5"/>
    </row>
    <row r="173" spans="4:5">
      <c r="D173" s="5"/>
      <c r="E173" s="5"/>
    </row>
    <row r="174" spans="4:5">
      <c r="D174" s="5"/>
      <c r="E174" s="5"/>
    </row>
    <row r="175" spans="4:5">
      <c r="D175" s="5"/>
      <c r="E175" s="5"/>
    </row>
    <row r="176" spans="4:5">
      <c r="D176" s="5"/>
      <c r="E176" s="5"/>
    </row>
    <row r="177" spans="4:5">
      <c r="D177" s="5"/>
      <c r="E177" s="5"/>
    </row>
    <row r="178" spans="4:5">
      <c r="D178" s="5"/>
      <c r="E178" s="5"/>
    </row>
    <row r="179" spans="4:5">
      <c r="D179" s="5"/>
      <c r="E179" s="5"/>
    </row>
    <row r="180" spans="4:5">
      <c r="D180" s="5"/>
      <c r="E180" s="5"/>
    </row>
    <row r="181" spans="4:5">
      <c r="D181" s="5"/>
      <c r="E181" s="5"/>
    </row>
    <row r="182" spans="4:5">
      <c r="D182" s="5"/>
      <c r="E182" s="5"/>
    </row>
    <row r="183" spans="4:5">
      <c r="D183" s="5"/>
      <c r="E183" s="5"/>
    </row>
    <row r="184" spans="4:5">
      <c r="D184" s="5"/>
      <c r="E184" s="5"/>
    </row>
    <row r="185" spans="4:5">
      <c r="D185" s="5"/>
      <c r="E185" s="5"/>
    </row>
    <row r="186" spans="4:5">
      <c r="D186" s="5"/>
      <c r="E186" s="5"/>
    </row>
    <row r="187" spans="4:5">
      <c r="D187" s="5"/>
      <c r="E187" s="5"/>
    </row>
    <row r="188" spans="4:5">
      <c r="D188" s="5"/>
      <c r="E188" s="5"/>
    </row>
    <row r="189" spans="4:5">
      <c r="D189" s="5"/>
      <c r="E189" s="5"/>
    </row>
    <row r="190" spans="4:5">
      <c r="D190" s="5"/>
      <c r="E190" s="5"/>
    </row>
    <row r="191" spans="4:5">
      <c r="D191" s="5"/>
      <c r="E191" s="5"/>
    </row>
    <row r="192" spans="4:5">
      <c r="D192" s="5"/>
      <c r="E192" s="5"/>
    </row>
    <row r="193" spans="4:5">
      <c r="D193" s="5"/>
      <c r="E193" s="5"/>
    </row>
    <row r="194" spans="4:5">
      <c r="D194" s="5"/>
      <c r="E194" s="5"/>
    </row>
    <row r="195" spans="4:5">
      <c r="D195" s="5"/>
      <c r="E195" s="5"/>
    </row>
    <row r="196" spans="4:5">
      <c r="D196" s="5"/>
      <c r="E196" s="5"/>
    </row>
    <row r="197" spans="4:5">
      <c r="D197" s="5"/>
      <c r="E197" s="5"/>
    </row>
    <row r="198" spans="4:5">
      <c r="D198" s="5"/>
      <c r="E198" s="5"/>
    </row>
    <row r="199" spans="4:5">
      <c r="D199" s="5"/>
      <c r="E199" s="5"/>
    </row>
    <row r="200" spans="4:5">
      <c r="D200" s="5"/>
      <c r="E200" s="5"/>
    </row>
    <row r="201" spans="4:5">
      <c r="D201" s="5"/>
      <c r="E201" s="5"/>
    </row>
    <row r="202" spans="4:5">
      <c r="D202" s="5"/>
      <c r="E202" s="5"/>
    </row>
    <row r="203" spans="4:5">
      <c r="D203" s="5"/>
      <c r="E203" s="5"/>
    </row>
    <row r="204" spans="4:5">
      <c r="D204" s="5"/>
      <c r="E204" s="5"/>
    </row>
    <row r="205" spans="4:5">
      <c r="D205" s="5"/>
      <c r="E205" s="5"/>
    </row>
    <row r="206" spans="4:5">
      <c r="D206" s="5"/>
      <c r="E206" s="5"/>
    </row>
    <row r="207" spans="4:5">
      <c r="D207" s="5"/>
      <c r="E207" s="5"/>
    </row>
    <row r="208" spans="4:5">
      <c r="D208" s="5"/>
      <c r="E208" s="5"/>
    </row>
    <row r="209" spans="4:5">
      <c r="D209" s="5"/>
      <c r="E209" s="5"/>
    </row>
    <row r="210" spans="4:5">
      <c r="D210" s="5"/>
      <c r="E210" s="5"/>
    </row>
    <row r="211" spans="4:5">
      <c r="D211" s="5"/>
      <c r="E211" s="5"/>
    </row>
    <row r="212" spans="4:5">
      <c r="D212" s="5"/>
      <c r="E212" s="5"/>
    </row>
    <row r="213" spans="4:5">
      <c r="D213" s="5"/>
      <c r="E213" s="5"/>
    </row>
    <row r="214" spans="4:5">
      <c r="D214" s="5"/>
      <c r="E214" s="5"/>
    </row>
    <row r="215" spans="4:5">
      <c r="D215" s="5"/>
      <c r="E215" s="5"/>
    </row>
    <row r="216" spans="4:5">
      <c r="D216" s="5"/>
      <c r="E216" s="5"/>
    </row>
    <row r="217" spans="4:5">
      <c r="D217" s="5"/>
      <c r="E217" s="5"/>
    </row>
    <row r="218" spans="4:5">
      <c r="D218" s="5"/>
      <c r="E218" s="5"/>
    </row>
    <row r="219" spans="4:5">
      <c r="D219" s="5"/>
      <c r="E219" s="5"/>
    </row>
    <row r="220" spans="4:5">
      <c r="D220" s="5"/>
      <c r="E220" s="5"/>
    </row>
    <row r="221" spans="4:5">
      <c r="D221" s="5"/>
      <c r="E221" s="5"/>
    </row>
    <row r="222" spans="4:5">
      <c r="D222" s="5"/>
      <c r="E222" s="5"/>
    </row>
    <row r="223" spans="4:5">
      <c r="D223" s="5"/>
      <c r="E223" s="5"/>
    </row>
    <row r="224" spans="4:5">
      <c r="D224" s="5"/>
      <c r="E224" s="5"/>
    </row>
    <row r="225" spans="4:5">
      <c r="D225" s="5"/>
      <c r="E225" s="5"/>
    </row>
    <row r="226" spans="4:5">
      <c r="D226" s="5"/>
      <c r="E226" s="5"/>
    </row>
    <row r="227" spans="4:5">
      <c r="D227" s="5"/>
      <c r="E227" s="5"/>
    </row>
    <row r="228" spans="4:5">
      <c r="D228" s="5"/>
      <c r="E228" s="5"/>
    </row>
    <row r="229" spans="4:5">
      <c r="D229" s="5"/>
      <c r="E229" s="5"/>
    </row>
    <row r="230" spans="4:5">
      <c r="D230" s="5"/>
      <c r="E230" s="5"/>
    </row>
    <row r="231" spans="4:5">
      <c r="D231" s="5"/>
      <c r="E231" s="5"/>
    </row>
    <row r="232" spans="4:5">
      <c r="D232" s="5"/>
      <c r="E232" s="5"/>
    </row>
    <row r="233" spans="4:5">
      <c r="D233" s="5"/>
      <c r="E233" s="5"/>
    </row>
    <row r="234" spans="4:5">
      <c r="D234" s="5"/>
      <c r="E234" s="5"/>
    </row>
    <row r="235" spans="4:5">
      <c r="D235" s="5"/>
      <c r="E235" s="5"/>
    </row>
    <row r="236" spans="4:5">
      <c r="D236" s="5"/>
      <c r="E236" s="5"/>
    </row>
    <row r="237" spans="4:5">
      <c r="D237" s="5"/>
      <c r="E237" s="5"/>
    </row>
    <row r="238" spans="4:5">
      <c r="D238" s="5"/>
      <c r="E238" s="5"/>
    </row>
    <row r="239" spans="4:5">
      <c r="D239" s="5"/>
      <c r="E239" s="5"/>
    </row>
    <row r="240" spans="4:5">
      <c r="D240" s="5"/>
      <c r="E240" s="5"/>
    </row>
    <row r="241" spans="4:5">
      <c r="D241" s="5"/>
      <c r="E241" s="5"/>
    </row>
    <row r="242" spans="4:5">
      <c r="D242" s="5"/>
      <c r="E242" s="5"/>
    </row>
    <row r="243" spans="4:5">
      <c r="D243" s="5"/>
      <c r="E243" s="5"/>
    </row>
    <row r="244" spans="4:5">
      <c r="D244" s="5"/>
      <c r="E244" s="5"/>
    </row>
    <row r="245" spans="4:5">
      <c r="D245" s="5"/>
      <c r="E245" s="5"/>
    </row>
    <row r="246" spans="4:5">
      <c r="D246" s="5"/>
      <c r="E246" s="5"/>
    </row>
    <row r="247" spans="4:5">
      <c r="D247" s="5"/>
      <c r="E247" s="5"/>
    </row>
    <row r="248" spans="4:5">
      <c r="D248" s="5"/>
      <c r="E248" s="5"/>
    </row>
    <row r="249" spans="4:5">
      <c r="D249" s="5"/>
      <c r="E249" s="5"/>
    </row>
    <row r="250" spans="4:5">
      <c r="D250" s="5"/>
      <c r="E250" s="5"/>
    </row>
    <row r="251" spans="4:5">
      <c r="D251" s="5"/>
      <c r="E251" s="5"/>
    </row>
    <row r="252" spans="4:5">
      <c r="D252" s="5"/>
      <c r="E252" s="5"/>
    </row>
    <row r="253" spans="4:5">
      <c r="D253" s="5"/>
      <c r="E253" s="5"/>
    </row>
    <row r="254" spans="4:5">
      <c r="D254" s="5"/>
      <c r="E254" s="5"/>
    </row>
    <row r="255" spans="4:5">
      <c r="D255" s="5"/>
      <c r="E255" s="5"/>
    </row>
    <row r="256" spans="4:5">
      <c r="D256" s="5"/>
      <c r="E256" s="5"/>
    </row>
    <row r="257" spans="4:5">
      <c r="D257" s="5"/>
      <c r="E257" s="5"/>
    </row>
    <row r="258" spans="4:5">
      <c r="D258" s="5"/>
      <c r="E258" s="5"/>
    </row>
    <row r="259" spans="4:5">
      <c r="D259" s="5"/>
      <c r="E259" s="5"/>
    </row>
    <row r="260" spans="4:5">
      <c r="D260" s="5"/>
      <c r="E260" s="5"/>
    </row>
    <row r="261" spans="4:5">
      <c r="D261" s="5"/>
      <c r="E261" s="5"/>
    </row>
    <row r="262" spans="4:5">
      <c r="D262" s="5"/>
      <c r="E262" s="5"/>
    </row>
    <row r="263" spans="4:5">
      <c r="D263" s="5"/>
      <c r="E263" s="5"/>
    </row>
    <row r="264" spans="4:5">
      <c r="D264" s="5"/>
      <c r="E264" s="5"/>
    </row>
    <row r="265" spans="4:5">
      <c r="D265" s="5"/>
      <c r="E265" s="5"/>
    </row>
    <row r="266" spans="4:5">
      <c r="D266" s="5"/>
      <c r="E266" s="5"/>
    </row>
    <row r="267" spans="4:5">
      <c r="D267" s="5"/>
      <c r="E267" s="5"/>
    </row>
    <row r="268" spans="4:5">
      <c r="D268" s="5"/>
      <c r="E268" s="5"/>
    </row>
    <row r="269" spans="4:5">
      <c r="D269" s="5"/>
      <c r="E269" s="5"/>
    </row>
    <row r="270" spans="4:5">
      <c r="D270" s="5"/>
      <c r="E270" s="5"/>
    </row>
    <row r="271" spans="4:5">
      <c r="D271" s="5"/>
      <c r="E271" s="5"/>
    </row>
    <row r="272" spans="4:5">
      <c r="D272" s="5"/>
      <c r="E272" s="5"/>
    </row>
    <row r="273" spans="4:5">
      <c r="D273" s="5"/>
      <c r="E273" s="5"/>
    </row>
    <row r="274" spans="4:5">
      <c r="D274" s="5"/>
      <c r="E274" s="5"/>
    </row>
    <row r="275" spans="4:5">
      <c r="D275" s="5"/>
      <c r="E275" s="5"/>
    </row>
    <row r="276" spans="4:5">
      <c r="D276" s="5"/>
      <c r="E276" s="5"/>
    </row>
    <row r="277" spans="4:5">
      <c r="D277" s="5"/>
      <c r="E277" s="5"/>
    </row>
    <row r="278" spans="4:5">
      <c r="D278" s="5"/>
      <c r="E278" s="5"/>
    </row>
    <row r="279" spans="4:5">
      <c r="D279" s="5"/>
      <c r="E279" s="5"/>
    </row>
    <row r="280" spans="4:5">
      <c r="D280" s="5"/>
      <c r="E280" s="5"/>
    </row>
    <row r="281" spans="4:5">
      <c r="D281" s="5"/>
      <c r="E281" s="5"/>
    </row>
    <row r="282" spans="4:5">
      <c r="D282" s="5"/>
      <c r="E282" s="5"/>
    </row>
    <row r="283" spans="4:5">
      <c r="D283" s="5"/>
      <c r="E283" s="5"/>
    </row>
    <row r="284" spans="4:5">
      <c r="D284" s="5"/>
      <c r="E284" s="5"/>
    </row>
    <row r="285" spans="4:5">
      <c r="D285" s="5"/>
      <c r="E285" s="5"/>
    </row>
    <row r="286" spans="4:5">
      <c r="D286" s="5"/>
      <c r="E286" s="5"/>
    </row>
    <row r="287" spans="4:5">
      <c r="D287" s="5"/>
      <c r="E287" s="5"/>
    </row>
    <row r="288" spans="4:5">
      <c r="D288" s="5"/>
      <c r="E288" s="5"/>
    </row>
    <row r="289" spans="4:5">
      <c r="D289" s="5"/>
      <c r="E289" s="5"/>
    </row>
    <row r="290" spans="4:5">
      <c r="D290" s="5"/>
      <c r="E290" s="5"/>
    </row>
    <row r="291" spans="4:5">
      <c r="D291" s="5"/>
      <c r="E291" s="5"/>
    </row>
    <row r="292" spans="4:5">
      <c r="D292" s="5"/>
      <c r="E292" s="5"/>
    </row>
    <row r="293" spans="4:5">
      <c r="D293" s="5"/>
      <c r="E293" s="5"/>
    </row>
    <row r="294" spans="4:5">
      <c r="D294" s="5"/>
      <c r="E294" s="5"/>
    </row>
    <row r="295" spans="4:5">
      <c r="D295" s="5"/>
      <c r="E295" s="5"/>
    </row>
    <row r="296" spans="4:5">
      <c r="D296" s="5"/>
      <c r="E296" s="5"/>
    </row>
    <row r="297" spans="4:5">
      <c r="D297" s="5"/>
      <c r="E297" s="5"/>
    </row>
    <row r="298" spans="4:5">
      <c r="D298" s="5"/>
      <c r="E298" s="5"/>
    </row>
    <row r="299" spans="4:5">
      <c r="D299" s="5"/>
      <c r="E299" s="5"/>
    </row>
    <row r="300" spans="4:5">
      <c r="D300" s="5"/>
      <c r="E300" s="5"/>
    </row>
    <row r="301" spans="4:5">
      <c r="D301" s="5"/>
      <c r="E301" s="5"/>
    </row>
    <row r="302" spans="4:5">
      <c r="D302" s="5"/>
      <c r="E302" s="5"/>
    </row>
    <row r="303" spans="4:5">
      <c r="D303" s="5"/>
      <c r="E303" s="5"/>
    </row>
    <row r="304" spans="4:5">
      <c r="D304" s="5"/>
      <c r="E304" s="5"/>
    </row>
    <row r="305" spans="4:5">
      <c r="D305" s="5"/>
      <c r="E305" s="5"/>
    </row>
    <row r="306" spans="4:5">
      <c r="D306" s="5"/>
      <c r="E306" s="5"/>
    </row>
    <row r="307" spans="4:5">
      <c r="D307" s="5"/>
      <c r="E307" s="5"/>
    </row>
    <row r="308" spans="4:5">
      <c r="D308" s="5"/>
      <c r="E308" s="5"/>
    </row>
    <row r="309" spans="4:5">
      <c r="D309" s="5"/>
      <c r="E309" s="5"/>
    </row>
    <row r="310" spans="4:5">
      <c r="D310" s="5"/>
      <c r="E310" s="5"/>
    </row>
    <row r="311" spans="4:5">
      <c r="D311" s="5"/>
      <c r="E311" s="5"/>
    </row>
    <row r="312" spans="4:5">
      <c r="D312" s="5"/>
      <c r="E312" s="5"/>
    </row>
    <row r="313" spans="4:5">
      <c r="D313" s="5"/>
      <c r="E313" s="5"/>
    </row>
    <row r="314" spans="4:5">
      <c r="D314" s="5"/>
      <c r="E314" s="5"/>
    </row>
    <row r="315" spans="4:5">
      <c r="D315" s="5"/>
      <c r="E315" s="5"/>
    </row>
    <row r="316" spans="4:5">
      <c r="D316" s="5"/>
      <c r="E316" s="5"/>
    </row>
    <row r="317" spans="4:5">
      <c r="D317" s="5"/>
      <c r="E317" s="5"/>
    </row>
    <row r="318" spans="4:5">
      <c r="D318" s="5"/>
      <c r="E318" s="5"/>
    </row>
    <row r="319" spans="4:5">
      <c r="D319" s="5"/>
      <c r="E319" s="5"/>
    </row>
    <row r="320" spans="4:5">
      <c r="D320" s="5"/>
      <c r="E320" s="5"/>
    </row>
    <row r="321" spans="4:5">
      <c r="D321" s="5"/>
      <c r="E321" s="5"/>
    </row>
    <row r="322" spans="4:5">
      <c r="D322" s="5"/>
      <c r="E322" s="5"/>
    </row>
    <row r="323" spans="4:5">
      <c r="D323" s="5"/>
      <c r="E323" s="5"/>
    </row>
    <row r="324" spans="4:5">
      <c r="D324" s="5"/>
      <c r="E324" s="5"/>
    </row>
    <row r="325" spans="4:5">
      <c r="D325" s="5"/>
      <c r="E325" s="5"/>
    </row>
    <row r="326" spans="4:5">
      <c r="D326" s="5"/>
      <c r="E326" s="5"/>
    </row>
    <row r="327" spans="4:5">
      <c r="D327" s="5"/>
      <c r="E327" s="5"/>
    </row>
    <row r="328" spans="4:5">
      <c r="D328" s="5"/>
      <c r="E328" s="5"/>
    </row>
    <row r="329" spans="4:5">
      <c r="D329" s="5"/>
      <c r="E329" s="5"/>
    </row>
    <row r="330" spans="4:5">
      <c r="D330" s="5"/>
      <c r="E330" s="5"/>
    </row>
    <row r="331" spans="4:5">
      <c r="D331" s="5"/>
      <c r="E331" s="5"/>
    </row>
    <row r="332" spans="4:5">
      <c r="D332" s="5"/>
      <c r="E332" s="5"/>
    </row>
    <row r="333" spans="4:5">
      <c r="D333" s="5"/>
      <c r="E333" s="5"/>
    </row>
  </sheetData>
  <mergeCells count="4">
    <mergeCell ref="A7:E7"/>
    <mergeCell ref="A4:E4"/>
    <mergeCell ref="A5:E5"/>
    <mergeCell ref="A6:E6"/>
  </mergeCells>
  <phoneticPr fontId="5" type="noConversion"/>
  <pageMargins left="0.75" right="0.75" top="1" bottom="1" header="0.5" footer="0.5"/>
  <pageSetup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17"/>
    <pageSetUpPr fitToPage="1"/>
  </sheetPr>
  <dimension ref="A1:M37"/>
  <sheetViews>
    <sheetView zoomScaleNormal="100" workbookViewId="0">
      <selection activeCell="A4" sqref="A4:F4"/>
    </sheetView>
  </sheetViews>
  <sheetFormatPr defaultRowHeight="12.75"/>
  <cols>
    <col min="1" max="1" width="4.42578125" bestFit="1" customWidth="1"/>
    <col min="2" max="2" width="49.5703125" bestFit="1" customWidth="1"/>
    <col min="3" max="5" width="15.140625" bestFit="1" customWidth="1"/>
    <col min="6" max="6" width="16.28515625" bestFit="1" customWidth="1"/>
    <col min="7" max="13" width="14.42578125" bestFit="1" customWidth="1"/>
  </cols>
  <sheetData>
    <row r="1" spans="1:11">
      <c r="A1" s="2"/>
      <c r="B1" s="2"/>
      <c r="C1" s="2"/>
      <c r="D1" s="2"/>
      <c r="E1" s="2"/>
      <c r="F1" t="str">
        <f>A!D1</f>
        <v>Docket No. RP16-299-000</v>
      </c>
    </row>
    <row r="2" spans="1:11">
      <c r="A2" s="2"/>
      <c r="B2" s="2"/>
      <c r="C2" s="2"/>
      <c r="D2" s="2"/>
      <c r="E2" s="2"/>
      <c r="F2" t="s">
        <v>197</v>
      </c>
    </row>
    <row r="3" spans="1:11">
      <c r="A3" s="2"/>
      <c r="B3" s="2"/>
      <c r="C3" s="2"/>
      <c r="D3" s="2"/>
      <c r="E3" s="2"/>
      <c r="F3" t="s">
        <v>212</v>
      </c>
    </row>
    <row r="4" spans="1:11">
      <c r="A4" s="927" t="str">
        <f>B!A4</f>
        <v>Tuscarora Gas Transmission Company</v>
      </c>
      <c r="B4" s="927"/>
      <c r="C4" s="927"/>
      <c r="D4" s="927"/>
      <c r="E4" s="927"/>
      <c r="F4" s="927"/>
    </row>
    <row r="5" spans="1:11">
      <c r="A5" s="927" t="s">
        <v>198</v>
      </c>
      <c r="B5" s="927"/>
      <c r="C5" s="927"/>
      <c r="D5" s="927"/>
      <c r="E5" s="927"/>
      <c r="F5" s="927"/>
    </row>
    <row r="6" spans="1:11">
      <c r="A6" s="927" t="str">
        <f>A!A6:D6</f>
        <v>For the Twelve Months Ended December 31, 2015, As Adjusted</v>
      </c>
      <c r="B6" s="927"/>
      <c r="C6" s="927"/>
      <c r="D6" s="927"/>
      <c r="E6" s="927"/>
      <c r="F6" s="927"/>
    </row>
    <row r="7" spans="1:11">
      <c r="F7" s="2"/>
    </row>
    <row r="8" spans="1:11">
      <c r="C8" s="2"/>
      <c r="D8" s="2"/>
      <c r="F8" s="2"/>
    </row>
    <row r="9" spans="1:11">
      <c r="A9" t="s">
        <v>352</v>
      </c>
      <c r="C9" s="2"/>
      <c r="D9" s="2"/>
      <c r="E9" s="2"/>
      <c r="F9" s="2"/>
    </row>
    <row r="10" spans="1:11">
      <c r="A10" s="1" t="s">
        <v>353</v>
      </c>
      <c r="B10" s="1" t="s">
        <v>354</v>
      </c>
      <c r="C10" s="3" t="s">
        <v>199</v>
      </c>
      <c r="D10" s="3" t="s">
        <v>201</v>
      </c>
      <c r="E10" s="3" t="s">
        <v>202</v>
      </c>
      <c r="F10" s="3" t="s">
        <v>356</v>
      </c>
    </row>
    <row r="11" spans="1:11">
      <c r="B11" s="2" t="s">
        <v>361</v>
      </c>
      <c r="C11" s="2" t="s">
        <v>362</v>
      </c>
      <c r="D11" s="2" t="s">
        <v>366</v>
      </c>
      <c r="E11" s="2" t="s">
        <v>363</v>
      </c>
      <c r="F11" s="2" t="s">
        <v>364</v>
      </c>
    </row>
    <row r="12" spans="1:11">
      <c r="B12" s="4"/>
      <c r="C12" s="2" t="s">
        <v>365</v>
      </c>
      <c r="D12" s="2" t="s">
        <v>365</v>
      </c>
      <c r="E12" s="2" t="s">
        <v>365</v>
      </c>
      <c r="F12" s="2" t="s">
        <v>365</v>
      </c>
    </row>
    <row r="13" spans="1:11">
      <c r="A13">
        <v>1</v>
      </c>
      <c r="B13" s="8" t="s">
        <v>200</v>
      </c>
    </row>
    <row r="14" spans="1:11">
      <c r="A14">
        <v>2</v>
      </c>
      <c r="B14" s="7" t="str">
        <f>'Title Input and Macros'!B16</f>
        <v>January</v>
      </c>
      <c r="C14" s="592">
        <v>401064</v>
      </c>
      <c r="D14" s="592">
        <v>-29102571</v>
      </c>
      <c r="E14" s="593">
        <v>-135325</v>
      </c>
      <c r="F14" s="68">
        <f>SUM(C14:E14)</f>
        <v>-28836832</v>
      </c>
      <c r="G14" s="68"/>
      <c r="H14" s="229"/>
      <c r="I14" s="107"/>
      <c r="K14" s="68"/>
    </row>
    <row r="15" spans="1:11">
      <c r="A15">
        <v>3</v>
      </c>
      <c r="B15" s="7" t="str">
        <f>'Title Input and Macros'!B17</f>
        <v>February</v>
      </c>
      <c r="C15" s="592">
        <v>401064</v>
      </c>
      <c r="D15" s="592">
        <v>-29102571</v>
      </c>
      <c r="E15" s="593">
        <v>-135325</v>
      </c>
      <c r="F15" s="68">
        <f t="shared" ref="F15:F24" si="0">SUM(C15:E15)</f>
        <v>-28836832</v>
      </c>
      <c r="G15" s="68"/>
      <c r="H15" s="229"/>
      <c r="I15" s="107"/>
      <c r="K15" s="68"/>
    </row>
    <row r="16" spans="1:11">
      <c r="A16">
        <v>4</v>
      </c>
      <c r="B16" s="7" t="str">
        <f>'Title Input and Macros'!B18</f>
        <v>March</v>
      </c>
      <c r="C16" s="592">
        <v>391749</v>
      </c>
      <c r="D16" s="593">
        <v>-29336544</v>
      </c>
      <c r="E16" s="593">
        <v>-134616</v>
      </c>
      <c r="F16" s="68">
        <f t="shared" si="0"/>
        <v>-29079411</v>
      </c>
      <c r="G16" s="68"/>
      <c r="H16" s="229"/>
      <c r="I16" s="107"/>
      <c r="K16" s="68"/>
    </row>
    <row r="17" spans="1:11">
      <c r="A17">
        <v>5</v>
      </c>
      <c r="B17" s="7" t="str">
        <f>'Title Input and Macros'!B19</f>
        <v>April</v>
      </c>
      <c r="C17" s="592">
        <v>401064</v>
      </c>
      <c r="D17" s="593">
        <v>-29102571</v>
      </c>
      <c r="E17" s="593">
        <v>-135325</v>
      </c>
      <c r="F17" s="68">
        <f t="shared" si="0"/>
        <v>-28836832</v>
      </c>
      <c r="G17" s="68"/>
      <c r="H17" s="107"/>
      <c r="I17" s="107"/>
      <c r="K17" s="68"/>
    </row>
    <row r="18" spans="1:11">
      <c r="A18">
        <v>6</v>
      </c>
      <c r="B18" s="7" t="str">
        <f>'Title Input and Macros'!B20</f>
        <v>May</v>
      </c>
      <c r="C18" s="592">
        <v>401064</v>
      </c>
      <c r="D18" s="593">
        <v>-29102571</v>
      </c>
      <c r="E18" s="593">
        <v>-135325</v>
      </c>
      <c r="F18" s="68">
        <f t="shared" si="0"/>
        <v>-28836832</v>
      </c>
      <c r="G18" s="68"/>
      <c r="H18" s="107"/>
      <c r="I18" s="107"/>
      <c r="K18" s="68"/>
    </row>
    <row r="19" spans="1:11">
      <c r="A19">
        <v>7</v>
      </c>
      <c r="B19" s="7" t="str">
        <f>'Title Input and Macros'!B21</f>
        <v>June</v>
      </c>
      <c r="C19" s="592">
        <v>382435</v>
      </c>
      <c r="D19" s="593">
        <v>-29571491</v>
      </c>
      <c r="E19" s="593">
        <v>-134101</v>
      </c>
      <c r="F19" s="68">
        <f t="shared" si="0"/>
        <v>-29323157</v>
      </c>
      <c r="G19" s="68"/>
      <c r="H19" s="107"/>
      <c r="I19" s="107"/>
      <c r="K19" s="68"/>
    </row>
    <row r="20" spans="1:11">
      <c r="A20">
        <v>8</v>
      </c>
      <c r="B20" s="7" t="str">
        <f>'Title Input and Macros'!B22</f>
        <v>July</v>
      </c>
      <c r="C20" s="592">
        <v>401064</v>
      </c>
      <c r="D20" s="593">
        <v>-29102571</v>
      </c>
      <c r="E20" s="593">
        <v>-135325</v>
      </c>
      <c r="F20" s="68">
        <f t="shared" si="0"/>
        <v>-28836832</v>
      </c>
      <c r="G20" s="68"/>
      <c r="H20" s="107"/>
      <c r="I20" s="107"/>
      <c r="K20" s="68"/>
    </row>
    <row r="21" spans="1:11">
      <c r="A21">
        <v>9</v>
      </c>
      <c r="B21" s="7" t="str">
        <f>'Title Input and Macros'!B23</f>
        <v>August</v>
      </c>
      <c r="C21" s="592">
        <v>401064</v>
      </c>
      <c r="D21" s="593">
        <v>-29102571</v>
      </c>
      <c r="E21" s="593">
        <v>-135325</v>
      </c>
      <c r="F21" s="68">
        <f t="shared" si="0"/>
        <v>-28836832</v>
      </c>
      <c r="G21" s="68"/>
      <c r="H21" s="107"/>
      <c r="I21" s="107"/>
      <c r="K21" s="68"/>
    </row>
    <row r="22" spans="1:11">
      <c r="A22">
        <v>10</v>
      </c>
      <c r="B22" s="7" t="str">
        <f>'Title Input and Macros'!B24</f>
        <v>September</v>
      </c>
      <c r="C22" s="593">
        <v>373120</v>
      </c>
      <c r="D22" s="593">
        <v>-29832142</v>
      </c>
      <c r="E22" s="593">
        <v>-134415</v>
      </c>
      <c r="F22" s="68">
        <f>SUM(C22:E22)</f>
        <v>-29593437</v>
      </c>
      <c r="G22" s="68"/>
      <c r="H22" s="107"/>
      <c r="I22" s="107"/>
      <c r="K22" s="68"/>
    </row>
    <row r="23" spans="1:11">
      <c r="A23">
        <v>11</v>
      </c>
      <c r="B23" s="7" t="str">
        <f>'Title Input and Macros'!B25</f>
        <v>October</v>
      </c>
      <c r="C23" s="593">
        <v>401064</v>
      </c>
      <c r="D23" s="593">
        <v>-29102571</v>
      </c>
      <c r="E23" s="593">
        <v>-135325</v>
      </c>
      <c r="F23" s="68">
        <f t="shared" si="0"/>
        <v>-28836832</v>
      </c>
      <c r="G23" s="68"/>
      <c r="H23" s="107"/>
      <c r="I23" s="107"/>
      <c r="K23" s="68"/>
    </row>
    <row r="24" spans="1:11">
      <c r="A24">
        <v>12</v>
      </c>
      <c r="B24" s="7" t="str">
        <f>'Title Input and Macros'!B26</f>
        <v>November</v>
      </c>
      <c r="C24" s="593">
        <v>401064</v>
      </c>
      <c r="D24" s="593">
        <v>-29102571</v>
      </c>
      <c r="E24" s="593">
        <v>-135325</v>
      </c>
      <c r="F24" s="68">
        <f t="shared" si="0"/>
        <v>-28836832</v>
      </c>
      <c r="G24" s="68"/>
      <c r="H24" s="107"/>
      <c r="I24" s="107"/>
      <c r="J24" s="107"/>
      <c r="K24" s="68"/>
    </row>
    <row r="25" spans="1:11">
      <c r="A25">
        <v>13</v>
      </c>
      <c r="B25" s="7" t="str">
        <f>'Title Input and Macros'!B27</f>
        <v>December</v>
      </c>
      <c r="C25" s="594">
        <v>327258</v>
      </c>
      <c r="D25" s="594">
        <v>-27080086</v>
      </c>
      <c r="E25" s="594">
        <v>-102696</v>
      </c>
      <c r="F25" s="145">
        <f>SUM(C25:E25)</f>
        <v>-26855524</v>
      </c>
      <c r="G25" s="68"/>
      <c r="H25" s="107"/>
      <c r="I25" s="107"/>
      <c r="J25" s="68"/>
      <c r="K25" s="68"/>
    </row>
    <row r="26" spans="1:11" ht="22.5" customHeight="1">
      <c r="B26" s="7"/>
      <c r="C26" s="127"/>
      <c r="D26" s="127"/>
      <c r="E26" s="127"/>
      <c r="F26" s="127"/>
      <c r="G26" s="68"/>
    </row>
    <row r="27" spans="1:11">
      <c r="A27">
        <v>14</v>
      </c>
      <c r="B27" t="s">
        <v>820</v>
      </c>
      <c r="C27" s="466">
        <f>'Sched B-1 Pg 2'!E26</f>
        <v>-15829</v>
      </c>
      <c r="D27" s="466">
        <f>'Sched B-1 Pg 2'!E18</f>
        <v>-297643</v>
      </c>
      <c r="E27" s="466">
        <f>'Sched B-1 Pg 2'!E27</f>
        <v>-11284</v>
      </c>
      <c r="F27" s="127">
        <f>SUM(C27:E27)</f>
        <v>-324756</v>
      </c>
      <c r="G27" s="68"/>
    </row>
    <row r="28" spans="1:11" ht="13.5" customHeight="1">
      <c r="A28">
        <f>+A27+1</f>
        <v>15</v>
      </c>
      <c r="B28" t="s">
        <v>444</v>
      </c>
      <c r="C28" s="127">
        <f>-'Sched B-1 Pg 2'!G26</f>
        <v>-311429</v>
      </c>
      <c r="D28" s="596">
        <f>-'Sched B-1 Pg 2'!G18</f>
        <v>210235</v>
      </c>
      <c r="E28" s="466">
        <v>113980</v>
      </c>
      <c r="F28" s="127">
        <f>SUM(C28:E28)</f>
        <v>12786</v>
      </c>
      <c r="G28" s="68"/>
    </row>
    <row r="29" spans="1:11" ht="13.5" thickBot="1">
      <c r="A29">
        <f>+A28+1</f>
        <v>16</v>
      </c>
      <c r="B29" t="s">
        <v>821</v>
      </c>
      <c r="C29" s="69">
        <f>+C25+C27+C28</f>
        <v>0</v>
      </c>
      <c r="D29" s="69">
        <f>+D25+D27+D28</f>
        <v>-27167494</v>
      </c>
      <c r="E29" s="69">
        <f>+E25+E27+E28</f>
        <v>0</v>
      </c>
      <c r="F29" s="69">
        <f>+F25+F27+F28</f>
        <v>-27167494</v>
      </c>
      <c r="G29" s="68"/>
    </row>
    <row r="30" spans="1:11" ht="13.5" thickTop="1">
      <c r="B30" s="146"/>
      <c r="C30" s="68"/>
      <c r="D30" s="68"/>
      <c r="E30" s="68"/>
      <c r="F30" s="68"/>
    </row>
    <row r="31" spans="1:11">
      <c r="B31" s="146"/>
      <c r="C31" s="68"/>
      <c r="D31" s="68"/>
      <c r="E31" s="68"/>
      <c r="F31" s="68"/>
      <c r="G31" s="68"/>
    </row>
    <row r="32" spans="1:11">
      <c r="C32" s="68"/>
      <c r="D32" s="68"/>
      <c r="E32" s="68"/>
      <c r="F32" s="68"/>
      <c r="G32" s="68"/>
    </row>
    <row r="33" spans="2:13">
      <c r="C33" s="68"/>
      <c r="D33" s="160"/>
      <c r="E33" s="160"/>
      <c r="F33" s="68"/>
      <c r="G33" s="68"/>
    </row>
    <row r="34" spans="2:13">
      <c r="C34" s="5"/>
      <c r="E34" s="5"/>
      <c r="G34" s="5"/>
      <c r="I34" s="5"/>
      <c r="K34" s="5"/>
      <c r="M34" s="5"/>
    </row>
    <row r="35" spans="2:13">
      <c r="B35" s="160"/>
      <c r="C35" s="160"/>
      <c r="D35" s="160"/>
      <c r="E35" s="160"/>
      <c r="F35" s="160"/>
      <c r="G35" s="160"/>
      <c r="H35" s="160"/>
      <c r="I35" s="160"/>
      <c r="J35" s="160"/>
      <c r="K35" s="160"/>
      <c r="L35" s="160"/>
      <c r="M35" s="160"/>
    </row>
    <row r="36" spans="2:13">
      <c r="C36" s="5"/>
      <c r="D36" s="5"/>
      <c r="E36" s="5"/>
      <c r="F36" s="5"/>
    </row>
    <row r="37" spans="2:13">
      <c r="C37" s="160"/>
      <c r="D37" s="160"/>
      <c r="E37" s="5"/>
      <c r="F37" s="5"/>
    </row>
  </sheetData>
  <mergeCells count="3">
    <mergeCell ref="A6:F6"/>
    <mergeCell ref="A5:F5"/>
    <mergeCell ref="A4:F4"/>
  </mergeCells>
  <phoneticPr fontId="5" type="noConversion"/>
  <pageMargins left="0.75" right="0.75" top="1" bottom="1" header="0.5" footer="0.5"/>
  <pageSetup scale="95" orientation="landscape" cellComments="asDisplayed"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rgb="FFFF0000"/>
    <pageSetUpPr fitToPage="1"/>
  </sheetPr>
  <dimension ref="A1:L332"/>
  <sheetViews>
    <sheetView workbookViewId="0">
      <selection activeCell="A4" sqref="A4:E4"/>
    </sheetView>
  </sheetViews>
  <sheetFormatPr defaultRowHeight="12.75"/>
  <cols>
    <col min="1" max="1" width="4.42578125" bestFit="1" customWidth="1"/>
    <col min="2" max="2" width="41.5703125" bestFit="1" customWidth="1"/>
    <col min="3" max="3" width="8.85546875" style="14" customWidth="1"/>
    <col min="4" max="4" width="17.5703125" bestFit="1" customWidth="1"/>
    <col min="5" max="5" width="16.5703125" bestFit="1" customWidth="1"/>
  </cols>
  <sheetData>
    <row r="1" spans="1:12">
      <c r="E1" t="str">
        <f>'Title Input and Macros'!B7</f>
        <v>Docket No. RP16-299-000</v>
      </c>
    </row>
    <row r="2" spans="1:12">
      <c r="E2" t="s">
        <v>270</v>
      </c>
    </row>
    <row r="4" spans="1:12">
      <c r="A4" s="929" t="str">
        <f>'Sched H-1 (2)(g)'!A4:E4</f>
        <v>Tuscarora Gas Transmission Company</v>
      </c>
      <c r="B4" s="927"/>
      <c r="C4" s="927"/>
      <c r="D4" s="927"/>
      <c r="E4" s="927"/>
    </row>
    <row r="5" spans="1:12">
      <c r="A5" s="927" t="s">
        <v>271</v>
      </c>
      <c r="B5" s="927"/>
      <c r="C5" s="927"/>
      <c r="D5" s="927"/>
      <c r="E5" s="927"/>
    </row>
    <row r="6" spans="1:12">
      <c r="A6" s="929" t="str">
        <f>'Title Input and Macros'!B9</f>
        <v>For the Twelve Months Ended December 31, 2015, As Adjusted</v>
      </c>
      <c r="B6" s="927"/>
      <c r="C6" s="927"/>
      <c r="D6" s="927"/>
      <c r="E6" s="927"/>
    </row>
    <row r="7" spans="1:12">
      <c r="A7" s="929"/>
      <c r="B7" s="929"/>
      <c r="C7" s="929"/>
      <c r="D7" s="929"/>
      <c r="E7" s="929"/>
    </row>
    <row r="8" spans="1:12" s="2" customFormat="1">
      <c r="C8" s="14"/>
    </row>
    <row r="9" spans="1:12">
      <c r="A9" s="50"/>
      <c r="B9" s="50"/>
      <c r="C9" s="134"/>
      <c r="D9" s="50"/>
      <c r="E9" s="50"/>
    </row>
    <row r="10" spans="1:12">
      <c r="A10" s="125"/>
      <c r="B10" s="139" t="s">
        <v>804</v>
      </c>
      <c r="C10" s="140"/>
      <c r="D10" s="125"/>
      <c r="E10" s="125"/>
    </row>
    <row r="11" spans="1:12">
      <c r="A11" s="73"/>
      <c r="B11" s="50"/>
      <c r="C11" s="134"/>
      <c r="D11" s="50"/>
      <c r="E11" s="50"/>
    </row>
    <row r="12" spans="1:12">
      <c r="A12" s="73"/>
      <c r="B12" s="73"/>
      <c r="C12" s="134"/>
      <c r="D12" s="50"/>
      <c r="E12" s="50"/>
    </row>
    <row r="13" spans="1:12">
      <c r="A13" s="73"/>
      <c r="B13" s="73"/>
      <c r="C13" s="141"/>
      <c r="D13" s="141"/>
      <c r="E13" s="46"/>
    </row>
    <row r="14" spans="1:12">
      <c r="A14" s="73"/>
      <c r="B14" s="73"/>
      <c r="C14" s="46"/>
      <c r="D14" s="46"/>
      <c r="E14" s="46"/>
    </row>
    <row r="15" spans="1:12">
      <c r="A15" s="73"/>
      <c r="B15" s="118"/>
      <c r="C15" s="46"/>
      <c r="D15" s="46"/>
      <c r="E15" s="46"/>
      <c r="F15" s="9"/>
      <c r="G15" s="9"/>
      <c r="H15" s="9"/>
      <c r="I15" s="9"/>
      <c r="J15" s="9"/>
      <c r="K15" s="9"/>
      <c r="L15" s="9"/>
    </row>
    <row r="16" spans="1:12">
      <c r="A16" s="73"/>
      <c r="B16" s="73"/>
      <c r="C16" s="134"/>
      <c r="D16" s="73"/>
      <c r="E16" s="73"/>
    </row>
    <row r="38" spans="4:5">
      <c r="D38" s="5"/>
      <c r="E38" s="5"/>
    </row>
    <row r="39" spans="4:5">
      <c r="D39" s="5"/>
      <c r="E39" s="5"/>
    </row>
    <row r="40" spans="4:5">
      <c r="D40" s="5"/>
      <c r="E40" s="5"/>
    </row>
    <row r="41" spans="4:5">
      <c r="D41" s="5"/>
      <c r="E41" s="5"/>
    </row>
    <row r="42" spans="4:5">
      <c r="D42" s="5"/>
      <c r="E42" s="5"/>
    </row>
    <row r="43" spans="4:5">
      <c r="D43" s="5"/>
      <c r="E43" s="5"/>
    </row>
    <row r="44" spans="4:5">
      <c r="D44" s="5"/>
      <c r="E44" s="5"/>
    </row>
    <row r="45" spans="4:5">
      <c r="D45" s="5"/>
      <c r="E45" s="5"/>
    </row>
    <row r="46" spans="4:5">
      <c r="D46" s="5"/>
      <c r="E46" s="5"/>
    </row>
    <row r="47" spans="4:5">
      <c r="D47" s="5"/>
      <c r="E47" s="5"/>
    </row>
    <row r="48" spans="4:5">
      <c r="D48" s="5"/>
      <c r="E48" s="5"/>
    </row>
    <row r="49" spans="4:5">
      <c r="D49" s="5"/>
      <c r="E49" s="5"/>
    </row>
    <row r="50" spans="4:5">
      <c r="D50" s="5"/>
      <c r="E50" s="5"/>
    </row>
    <row r="51" spans="4:5">
      <c r="D51" s="5"/>
      <c r="E51" s="5"/>
    </row>
    <row r="52" spans="4:5">
      <c r="D52" s="5"/>
      <c r="E52" s="5"/>
    </row>
    <row r="53" spans="4:5">
      <c r="D53" s="5"/>
      <c r="E53" s="5"/>
    </row>
    <row r="54" spans="4:5">
      <c r="D54" s="5"/>
      <c r="E54" s="5"/>
    </row>
    <row r="55" spans="4:5">
      <c r="D55" s="5"/>
      <c r="E55" s="5"/>
    </row>
    <row r="56" spans="4:5">
      <c r="D56" s="5"/>
      <c r="E56" s="5"/>
    </row>
    <row r="57" spans="4:5">
      <c r="D57" s="5"/>
      <c r="E57" s="5"/>
    </row>
    <row r="58" spans="4:5">
      <c r="D58" s="5"/>
      <c r="E58" s="5"/>
    </row>
    <row r="59" spans="4:5">
      <c r="D59" s="5"/>
      <c r="E59" s="5"/>
    </row>
    <row r="60" spans="4:5">
      <c r="D60" s="5"/>
      <c r="E60" s="5"/>
    </row>
    <row r="61" spans="4:5">
      <c r="D61" s="5"/>
      <c r="E61" s="5"/>
    </row>
    <row r="62" spans="4:5">
      <c r="D62" s="5"/>
      <c r="E62" s="5"/>
    </row>
    <row r="63" spans="4:5">
      <c r="D63" s="5"/>
      <c r="E63" s="5"/>
    </row>
    <row r="64" spans="4:5">
      <c r="D64" s="5"/>
      <c r="E64" s="5"/>
    </row>
    <row r="65" spans="4:5">
      <c r="D65" s="5"/>
      <c r="E65" s="5"/>
    </row>
    <row r="66" spans="4:5">
      <c r="D66" s="5"/>
      <c r="E66" s="5"/>
    </row>
    <row r="67" spans="4:5">
      <c r="D67" s="5"/>
      <c r="E67" s="5"/>
    </row>
    <row r="68" spans="4:5">
      <c r="D68" s="5"/>
      <c r="E68" s="5"/>
    </row>
    <row r="69" spans="4:5">
      <c r="D69" s="5"/>
      <c r="E69" s="5"/>
    </row>
    <row r="70" spans="4:5">
      <c r="D70" s="5"/>
      <c r="E70" s="5"/>
    </row>
    <row r="71" spans="4:5">
      <c r="D71" s="5"/>
      <c r="E71" s="5"/>
    </row>
    <row r="72" spans="4:5">
      <c r="D72" s="5"/>
      <c r="E72" s="5"/>
    </row>
    <row r="73" spans="4:5">
      <c r="D73" s="5"/>
      <c r="E73" s="5"/>
    </row>
    <row r="74" spans="4:5">
      <c r="D74" s="5"/>
      <c r="E74" s="5"/>
    </row>
    <row r="75" spans="4:5">
      <c r="D75" s="5"/>
      <c r="E75" s="5"/>
    </row>
    <row r="76" spans="4:5">
      <c r="D76" s="5"/>
      <c r="E76" s="5"/>
    </row>
    <row r="77" spans="4:5">
      <c r="D77" s="5"/>
      <c r="E77" s="5"/>
    </row>
    <row r="78" spans="4:5">
      <c r="D78" s="5"/>
      <c r="E78" s="5"/>
    </row>
    <row r="79" spans="4:5">
      <c r="D79" s="5"/>
      <c r="E79" s="5"/>
    </row>
    <row r="80" spans="4:5">
      <c r="D80" s="5"/>
      <c r="E80" s="5"/>
    </row>
    <row r="81" spans="4:5">
      <c r="D81" s="5"/>
      <c r="E81" s="5"/>
    </row>
    <row r="82" spans="4:5">
      <c r="D82" s="5"/>
      <c r="E82" s="5"/>
    </row>
    <row r="83" spans="4:5">
      <c r="D83" s="5"/>
      <c r="E83" s="5"/>
    </row>
    <row r="84" spans="4:5">
      <c r="D84" s="5"/>
      <c r="E84" s="5"/>
    </row>
    <row r="85" spans="4:5">
      <c r="D85" s="5"/>
      <c r="E85" s="5"/>
    </row>
    <row r="86" spans="4:5">
      <c r="D86" s="5"/>
      <c r="E86" s="5"/>
    </row>
    <row r="87" spans="4:5">
      <c r="D87" s="5"/>
      <c r="E87" s="5"/>
    </row>
    <row r="88" spans="4:5">
      <c r="D88" s="5"/>
      <c r="E88" s="5"/>
    </row>
    <row r="89" spans="4:5">
      <c r="D89" s="5"/>
      <c r="E89" s="5"/>
    </row>
    <row r="90" spans="4:5">
      <c r="D90" s="5"/>
      <c r="E90" s="5"/>
    </row>
    <row r="91" spans="4:5">
      <c r="D91" s="5"/>
      <c r="E91" s="5"/>
    </row>
    <row r="92" spans="4:5">
      <c r="D92" s="5"/>
      <c r="E92" s="5"/>
    </row>
    <row r="93" spans="4:5">
      <c r="D93" s="5"/>
      <c r="E93" s="5"/>
    </row>
    <row r="94" spans="4:5">
      <c r="D94" s="5"/>
      <c r="E94" s="5"/>
    </row>
    <row r="95" spans="4:5">
      <c r="D95" s="5"/>
      <c r="E95" s="5"/>
    </row>
    <row r="96" spans="4:5">
      <c r="D96" s="5"/>
      <c r="E96" s="5"/>
    </row>
    <row r="97" spans="4:5">
      <c r="D97" s="5"/>
      <c r="E97" s="5"/>
    </row>
    <row r="98" spans="4:5">
      <c r="D98" s="5"/>
      <c r="E98" s="5"/>
    </row>
    <row r="99" spans="4:5">
      <c r="D99" s="5"/>
      <c r="E99" s="5"/>
    </row>
    <row r="100" spans="4:5">
      <c r="D100" s="5"/>
      <c r="E100" s="5"/>
    </row>
    <row r="101" spans="4:5">
      <c r="D101" s="5"/>
      <c r="E101" s="5"/>
    </row>
    <row r="102" spans="4:5">
      <c r="D102" s="5"/>
      <c r="E102" s="5"/>
    </row>
    <row r="103" spans="4:5">
      <c r="D103" s="5"/>
      <c r="E103" s="5"/>
    </row>
    <row r="104" spans="4:5">
      <c r="D104" s="5"/>
      <c r="E104" s="5"/>
    </row>
    <row r="105" spans="4:5">
      <c r="D105" s="5"/>
      <c r="E105" s="5"/>
    </row>
    <row r="106" spans="4:5">
      <c r="D106" s="5"/>
      <c r="E106" s="5"/>
    </row>
    <row r="107" spans="4:5">
      <c r="D107" s="5"/>
      <c r="E107" s="5"/>
    </row>
    <row r="108" spans="4:5">
      <c r="D108" s="5"/>
      <c r="E108" s="5"/>
    </row>
    <row r="109" spans="4:5">
      <c r="D109" s="5"/>
      <c r="E109" s="5"/>
    </row>
    <row r="110" spans="4:5">
      <c r="D110" s="5"/>
      <c r="E110" s="5"/>
    </row>
    <row r="111" spans="4:5">
      <c r="D111" s="5"/>
      <c r="E111" s="5"/>
    </row>
    <row r="112" spans="4:5">
      <c r="D112" s="5"/>
      <c r="E112" s="5"/>
    </row>
    <row r="113" spans="4:5">
      <c r="D113" s="5"/>
      <c r="E113" s="5"/>
    </row>
    <row r="114" spans="4:5">
      <c r="D114" s="5"/>
      <c r="E114" s="5"/>
    </row>
    <row r="115" spans="4:5">
      <c r="D115" s="5"/>
      <c r="E115" s="5"/>
    </row>
    <row r="116" spans="4:5">
      <c r="D116" s="5"/>
      <c r="E116" s="5"/>
    </row>
    <row r="117" spans="4:5">
      <c r="D117" s="5"/>
      <c r="E117" s="5"/>
    </row>
    <row r="118" spans="4:5">
      <c r="D118" s="5"/>
      <c r="E118" s="5"/>
    </row>
    <row r="119" spans="4:5">
      <c r="D119" s="5"/>
      <c r="E119" s="5"/>
    </row>
    <row r="120" spans="4:5">
      <c r="D120" s="5"/>
      <c r="E120" s="5"/>
    </row>
    <row r="121" spans="4:5">
      <c r="D121" s="5"/>
      <c r="E121" s="5"/>
    </row>
    <row r="122" spans="4:5">
      <c r="D122" s="5"/>
      <c r="E122" s="5"/>
    </row>
    <row r="123" spans="4:5">
      <c r="D123" s="5"/>
      <c r="E123" s="5"/>
    </row>
    <row r="124" spans="4:5">
      <c r="D124" s="5"/>
      <c r="E124" s="5"/>
    </row>
    <row r="125" spans="4:5">
      <c r="D125" s="5"/>
      <c r="E125" s="5"/>
    </row>
    <row r="126" spans="4:5">
      <c r="D126" s="5"/>
      <c r="E126" s="5"/>
    </row>
    <row r="127" spans="4:5">
      <c r="D127" s="5"/>
      <c r="E127" s="5"/>
    </row>
    <row r="128" spans="4:5">
      <c r="D128" s="5"/>
      <c r="E128" s="5"/>
    </row>
    <row r="129" spans="4:5">
      <c r="D129" s="5"/>
      <c r="E129" s="5"/>
    </row>
    <row r="130" spans="4:5">
      <c r="D130" s="5"/>
      <c r="E130" s="5"/>
    </row>
    <row r="131" spans="4:5">
      <c r="D131" s="5"/>
      <c r="E131" s="5"/>
    </row>
    <row r="132" spans="4:5">
      <c r="D132" s="5"/>
      <c r="E132" s="5"/>
    </row>
    <row r="133" spans="4:5">
      <c r="D133" s="5"/>
      <c r="E133" s="5"/>
    </row>
    <row r="134" spans="4:5">
      <c r="D134" s="5"/>
      <c r="E134" s="5"/>
    </row>
    <row r="135" spans="4:5">
      <c r="D135" s="5"/>
      <c r="E135" s="5"/>
    </row>
    <row r="136" spans="4:5">
      <c r="D136" s="5"/>
      <c r="E136" s="5"/>
    </row>
    <row r="137" spans="4:5">
      <c r="D137" s="5"/>
      <c r="E137" s="5"/>
    </row>
    <row r="138" spans="4:5">
      <c r="D138" s="5"/>
      <c r="E138" s="5"/>
    </row>
    <row r="139" spans="4:5">
      <c r="D139" s="5"/>
      <c r="E139" s="5"/>
    </row>
    <row r="140" spans="4:5">
      <c r="D140" s="5"/>
      <c r="E140" s="5"/>
    </row>
    <row r="141" spans="4:5">
      <c r="D141" s="5"/>
      <c r="E141" s="5"/>
    </row>
    <row r="142" spans="4:5">
      <c r="D142" s="5"/>
      <c r="E142" s="5"/>
    </row>
    <row r="143" spans="4:5">
      <c r="D143" s="5"/>
      <c r="E143" s="5"/>
    </row>
    <row r="144" spans="4:5">
      <c r="D144" s="5"/>
      <c r="E144" s="5"/>
    </row>
    <row r="145" spans="4:5">
      <c r="D145" s="5"/>
      <c r="E145" s="5"/>
    </row>
    <row r="146" spans="4:5">
      <c r="D146" s="5"/>
      <c r="E146" s="5"/>
    </row>
    <row r="147" spans="4:5">
      <c r="D147" s="5"/>
      <c r="E147" s="5"/>
    </row>
    <row r="148" spans="4:5">
      <c r="D148" s="5"/>
      <c r="E148" s="5"/>
    </row>
    <row r="149" spans="4:5">
      <c r="D149" s="5"/>
      <c r="E149" s="5"/>
    </row>
    <row r="150" spans="4:5">
      <c r="D150" s="5"/>
      <c r="E150" s="5"/>
    </row>
    <row r="151" spans="4:5">
      <c r="D151" s="5"/>
      <c r="E151" s="5"/>
    </row>
    <row r="152" spans="4:5">
      <c r="D152" s="5"/>
      <c r="E152" s="5"/>
    </row>
    <row r="153" spans="4:5">
      <c r="D153" s="5"/>
      <c r="E153" s="5"/>
    </row>
    <row r="154" spans="4:5">
      <c r="D154" s="5"/>
      <c r="E154" s="5"/>
    </row>
    <row r="155" spans="4:5">
      <c r="D155" s="5"/>
      <c r="E155" s="5"/>
    </row>
    <row r="156" spans="4:5">
      <c r="D156" s="5"/>
      <c r="E156" s="5"/>
    </row>
    <row r="157" spans="4:5">
      <c r="D157" s="5"/>
      <c r="E157" s="5"/>
    </row>
    <row r="158" spans="4:5">
      <c r="D158" s="5"/>
      <c r="E158" s="5"/>
    </row>
    <row r="159" spans="4:5">
      <c r="D159" s="5"/>
      <c r="E159" s="5"/>
    </row>
    <row r="160" spans="4:5">
      <c r="D160" s="5"/>
      <c r="E160" s="5"/>
    </row>
    <row r="161" spans="4:5">
      <c r="D161" s="5"/>
      <c r="E161" s="5"/>
    </row>
    <row r="162" spans="4:5">
      <c r="D162" s="5"/>
      <c r="E162" s="5"/>
    </row>
    <row r="163" spans="4:5">
      <c r="D163" s="5"/>
      <c r="E163" s="5"/>
    </row>
    <row r="164" spans="4:5">
      <c r="D164" s="5"/>
      <c r="E164" s="5"/>
    </row>
    <row r="165" spans="4:5">
      <c r="D165" s="5"/>
      <c r="E165" s="5"/>
    </row>
    <row r="166" spans="4:5">
      <c r="D166" s="5"/>
      <c r="E166" s="5"/>
    </row>
    <row r="167" spans="4:5">
      <c r="D167" s="5"/>
      <c r="E167" s="5"/>
    </row>
    <row r="168" spans="4:5">
      <c r="D168" s="5"/>
      <c r="E168" s="5"/>
    </row>
    <row r="169" spans="4:5">
      <c r="D169" s="5"/>
      <c r="E169" s="5"/>
    </row>
    <row r="170" spans="4:5">
      <c r="D170" s="5"/>
      <c r="E170" s="5"/>
    </row>
    <row r="171" spans="4:5">
      <c r="D171" s="5"/>
      <c r="E171" s="5"/>
    </row>
    <row r="172" spans="4:5">
      <c r="D172" s="5"/>
      <c r="E172" s="5"/>
    </row>
    <row r="173" spans="4:5">
      <c r="D173" s="5"/>
      <c r="E173" s="5"/>
    </row>
    <row r="174" spans="4:5">
      <c r="D174" s="5"/>
      <c r="E174" s="5"/>
    </row>
    <row r="175" spans="4:5">
      <c r="D175" s="5"/>
      <c r="E175" s="5"/>
    </row>
    <row r="176" spans="4:5">
      <c r="D176" s="5"/>
      <c r="E176" s="5"/>
    </row>
    <row r="177" spans="4:5">
      <c r="D177" s="5"/>
      <c r="E177" s="5"/>
    </row>
    <row r="178" spans="4:5">
      <c r="D178" s="5"/>
      <c r="E178" s="5"/>
    </row>
    <row r="179" spans="4:5">
      <c r="D179" s="5"/>
      <c r="E179" s="5"/>
    </row>
    <row r="180" spans="4:5">
      <c r="D180" s="5"/>
      <c r="E180" s="5"/>
    </row>
    <row r="181" spans="4:5">
      <c r="D181" s="5"/>
      <c r="E181" s="5"/>
    </row>
    <row r="182" spans="4:5">
      <c r="D182" s="5"/>
      <c r="E182" s="5"/>
    </row>
    <row r="183" spans="4:5">
      <c r="D183" s="5"/>
      <c r="E183" s="5"/>
    </row>
    <row r="184" spans="4:5">
      <c r="D184" s="5"/>
      <c r="E184" s="5"/>
    </row>
    <row r="185" spans="4:5">
      <c r="D185" s="5"/>
      <c r="E185" s="5"/>
    </row>
    <row r="186" spans="4:5">
      <c r="D186" s="5"/>
      <c r="E186" s="5"/>
    </row>
    <row r="187" spans="4:5">
      <c r="D187" s="5"/>
      <c r="E187" s="5"/>
    </row>
    <row r="188" spans="4:5">
      <c r="D188" s="5"/>
      <c r="E188" s="5"/>
    </row>
    <row r="189" spans="4:5">
      <c r="D189" s="5"/>
      <c r="E189" s="5"/>
    </row>
    <row r="190" spans="4:5">
      <c r="D190" s="5"/>
      <c r="E190" s="5"/>
    </row>
    <row r="191" spans="4:5">
      <c r="D191" s="5"/>
      <c r="E191" s="5"/>
    </row>
    <row r="192" spans="4:5">
      <c r="D192" s="5"/>
      <c r="E192" s="5"/>
    </row>
    <row r="193" spans="4:5">
      <c r="D193" s="5"/>
      <c r="E193" s="5"/>
    </row>
    <row r="194" spans="4:5">
      <c r="D194" s="5"/>
      <c r="E194" s="5"/>
    </row>
    <row r="195" spans="4:5">
      <c r="D195" s="5"/>
      <c r="E195" s="5"/>
    </row>
    <row r="196" spans="4:5">
      <c r="D196" s="5"/>
      <c r="E196" s="5"/>
    </row>
    <row r="197" spans="4:5">
      <c r="D197" s="5"/>
      <c r="E197" s="5"/>
    </row>
    <row r="198" spans="4:5">
      <c r="D198" s="5"/>
      <c r="E198" s="5"/>
    </row>
    <row r="199" spans="4:5">
      <c r="D199" s="5"/>
      <c r="E199" s="5"/>
    </row>
    <row r="200" spans="4:5">
      <c r="D200" s="5"/>
      <c r="E200" s="5"/>
    </row>
    <row r="201" spans="4:5">
      <c r="D201" s="5"/>
      <c r="E201" s="5"/>
    </row>
    <row r="202" spans="4:5">
      <c r="D202" s="5"/>
      <c r="E202" s="5"/>
    </row>
    <row r="203" spans="4:5">
      <c r="D203" s="5"/>
      <c r="E203" s="5"/>
    </row>
    <row r="204" spans="4:5">
      <c r="D204" s="5"/>
      <c r="E204" s="5"/>
    </row>
    <row r="205" spans="4:5">
      <c r="D205" s="5"/>
      <c r="E205" s="5"/>
    </row>
    <row r="206" spans="4:5">
      <c r="D206" s="5"/>
      <c r="E206" s="5"/>
    </row>
    <row r="207" spans="4:5">
      <c r="D207" s="5"/>
      <c r="E207" s="5"/>
    </row>
    <row r="208" spans="4:5">
      <c r="D208" s="5"/>
      <c r="E208" s="5"/>
    </row>
    <row r="209" spans="4:5">
      <c r="D209" s="5"/>
      <c r="E209" s="5"/>
    </row>
    <row r="210" spans="4:5">
      <c r="D210" s="5"/>
      <c r="E210" s="5"/>
    </row>
    <row r="211" spans="4:5">
      <c r="D211" s="5"/>
      <c r="E211" s="5"/>
    </row>
    <row r="212" spans="4:5">
      <c r="D212" s="5"/>
      <c r="E212" s="5"/>
    </row>
    <row r="213" spans="4:5">
      <c r="D213" s="5"/>
      <c r="E213" s="5"/>
    </row>
    <row r="214" spans="4:5">
      <c r="D214" s="5"/>
      <c r="E214" s="5"/>
    </row>
    <row r="215" spans="4:5">
      <c r="D215" s="5"/>
      <c r="E215" s="5"/>
    </row>
    <row r="216" spans="4:5">
      <c r="D216" s="5"/>
      <c r="E216" s="5"/>
    </row>
    <row r="217" spans="4:5">
      <c r="D217" s="5"/>
      <c r="E217" s="5"/>
    </row>
    <row r="218" spans="4:5">
      <c r="D218" s="5"/>
      <c r="E218" s="5"/>
    </row>
    <row r="219" spans="4:5">
      <c r="D219" s="5"/>
      <c r="E219" s="5"/>
    </row>
    <row r="220" spans="4:5">
      <c r="D220" s="5"/>
      <c r="E220" s="5"/>
    </row>
    <row r="221" spans="4:5">
      <c r="D221" s="5"/>
      <c r="E221" s="5"/>
    </row>
    <row r="222" spans="4:5">
      <c r="D222" s="5"/>
      <c r="E222" s="5"/>
    </row>
    <row r="223" spans="4:5">
      <c r="D223" s="5"/>
      <c r="E223" s="5"/>
    </row>
    <row r="224" spans="4:5">
      <c r="D224" s="5"/>
      <c r="E224" s="5"/>
    </row>
    <row r="225" spans="4:5">
      <c r="D225" s="5"/>
      <c r="E225" s="5"/>
    </row>
    <row r="226" spans="4:5">
      <c r="D226" s="5"/>
      <c r="E226" s="5"/>
    </row>
    <row r="227" spans="4:5">
      <c r="D227" s="5"/>
      <c r="E227" s="5"/>
    </row>
    <row r="228" spans="4:5">
      <c r="D228" s="5"/>
      <c r="E228" s="5"/>
    </row>
    <row r="229" spans="4:5">
      <c r="D229" s="5"/>
      <c r="E229" s="5"/>
    </row>
    <row r="230" spans="4:5">
      <c r="D230" s="5"/>
      <c r="E230" s="5"/>
    </row>
    <row r="231" spans="4:5">
      <c r="D231" s="5"/>
      <c r="E231" s="5"/>
    </row>
    <row r="232" spans="4:5">
      <c r="D232" s="5"/>
      <c r="E232" s="5"/>
    </row>
    <row r="233" spans="4:5">
      <c r="D233" s="5"/>
      <c r="E233" s="5"/>
    </row>
    <row r="234" spans="4:5">
      <c r="D234" s="5"/>
      <c r="E234" s="5"/>
    </row>
    <row r="235" spans="4:5">
      <c r="D235" s="5"/>
      <c r="E235" s="5"/>
    </row>
    <row r="236" spans="4:5">
      <c r="D236" s="5"/>
      <c r="E236" s="5"/>
    </row>
    <row r="237" spans="4:5">
      <c r="D237" s="5"/>
      <c r="E237" s="5"/>
    </row>
    <row r="238" spans="4:5">
      <c r="D238" s="5"/>
      <c r="E238" s="5"/>
    </row>
    <row r="239" spans="4:5">
      <c r="D239" s="5"/>
      <c r="E239" s="5"/>
    </row>
    <row r="240" spans="4:5">
      <c r="D240" s="5"/>
      <c r="E240" s="5"/>
    </row>
    <row r="241" spans="4:5">
      <c r="D241" s="5"/>
      <c r="E241" s="5"/>
    </row>
    <row r="242" spans="4:5">
      <c r="D242" s="5"/>
      <c r="E242" s="5"/>
    </row>
    <row r="243" spans="4:5">
      <c r="D243" s="5"/>
      <c r="E243" s="5"/>
    </row>
    <row r="244" spans="4:5">
      <c r="D244" s="5"/>
      <c r="E244" s="5"/>
    </row>
    <row r="245" spans="4:5">
      <c r="D245" s="5"/>
      <c r="E245" s="5"/>
    </row>
    <row r="246" spans="4:5">
      <c r="D246" s="5"/>
      <c r="E246" s="5"/>
    </row>
    <row r="247" spans="4:5">
      <c r="D247" s="5"/>
      <c r="E247" s="5"/>
    </row>
    <row r="248" spans="4:5">
      <c r="D248" s="5"/>
      <c r="E248" s="5"/>
    </row>
    <row r="249" spans="4:5">
      <c r="D249" s="5"/>
      <c r="E249" s="5"/>
    </row>
    <row r="250" spans="4:5">
      <c r="D250" s="5"/>
      <c r="E250" s="5"/>
    </row>
    <row r="251" spans="4:5">
      <c r="D251" s="5"/>
      <c r="E251" s="5"/>
    </row>
    <row r="252" spans="4:5">
      <c r="D252" s="5"/>
      <c r="E252" s="5"/>
    </row>
    <row r="253" spans="4:5">
      <c r="D253" s="5"/>
      <c r="E253" s="5"/>
    </row>
    <row r="254" spans="4:5">
      <c r="D254" s="5"/>
      <c r="E254" s="5"/>
    </row>
    <row r="255" spans="4:5">
      <c r="D255" s="5"/>
      <c r="E255" s="5"/>
    </row>
    <row r="256" spans="4:5">
      <c r="D256" s="5"/>
      <c r="E256" s="5"/>
    </row>
    <row r="257" spans="4:5">
      <c r="D257" s="5"/>
      <c r="E257" s="5"/>
    </row>
    <row r="258" spans="4:5">
      <c r="D258" s="5"/>
      <c r="E258" s="5"/>
    </row>
    <row r="259" spans="4:5">
      <c r="D259" s="5"/>
      <c r="E259" s="5"/>
    </row>
    <row r="260" spans="4:5">
      <c r="D260" s="5"/>
      <c r="E260" s="5"/>
    </row>
    <row r="261" spans="4:5">
      <c r="D261" s="5"/>
      <c r="E261" s="5"/>
    </row>
    <row r="262" spans="4:5">
      <c r="D262" s="5"/>
      <c r="E262" s="5"/>
    </row>
    <row r="263" spans="4:5">
      <c r="D263" s="5"/>
      <c r="E263" s="5"/>
    </row>
    <row r="264" spans="4:5">
      <c r="D264" s="5"/>
      <c r="E264" s="5"/>
    </row>
    <row r="265" spans="4:5">
      <c r="D265" s="5"/>
      <c r="E265" s="5"/>
    </row>
    <row r="266" spans="4:5">
      <c r="D266" s="5"/>
      <c r="E266" s="5"/>
    </row>
    <row r="267" spans="4:5">
      <c r="D267" s="5"/>
      <c r="E267" s="5"/>
    </row>
    <row r="268" spans="4:5">
      <c r="D268" s="5"/>
      <c r="E268" s="5"/>
    </row>
    <row r="269" spans="4:5">
      <c r="D269" s="5"/>
      <c r="E269" s="5"/>
    </row>
    <row r="270" spans="4:5">
      <c r="D270" s="5"/>
      <c r="E270" s="5"/>
    </row>
    <row r="271" spans="4:5">
      <c r="D271" s="5"/>
      <c r="E271" s="5"/>
    </row>
    <row r="272" spans="4:5">
      <c r="D272" s="5"/>
      <c r="E272" s="5"/>
    </row>
    <row r="273" spans="4:5">
      <c r="D273" s="5"/>
      <c r="E273" s="5"/>
    </row>
    <row r="274" spans="4:5">
      <c r="D274" s="5"/>
      <c r="E274" s="5"/>
    </row>
    <row r="275" spans="4:5">
      <c r="D275" s="5"/>
      <c r="E275" s="5"/>
    </row>
    <row r="276" spans="4:5">
      <c r="D276" s="5"/>
      <c r="E276" s="5"/>
    </row>
    <row r="277" spans="4:5">
      <c r="D277" s="5"/>
      <c r="E277" s="5"/>
    </row>
    <row r="278" spans="4:5">
      <c r="D278" s="5"/>
      <c r="E278" s="5"/>
    </row>
    <row r="279" spans="4:5">
      <c r="D279" s="5"/>
      <c r="E279" s="5"/>
    </row>
    <row r="280" spans="4:5">
      <c r="D280" s="5"/>
      <c r="E280" s="5"/>
    </row>
    <row r="281" spans="4:5">
      <c r="D281" s="5"/>
      <c r="E281" s="5"/>
    </row>
    <row r="282" spans="4:5">
      <c r="D282" s="5"/>
      <c r="E282" s="5"/>
    </row>
    <row r="283" spans="4:5">
      <c r="D283" s="5"/>
      <c r="E283" s="5"/>
    </row>
    <row r="284" spans="4:5">
      <c r="D284" s="5"/>
      <c r="E284" s="5"/>
    </row>
    <row r="285" spans="4:5">
      <c r="D285" s="5"/>
      <c r="E285" s="5"/>
    </row>
    <row r="286" spans="4:5">
      <c r="D286" s="5"/>
      <c r="E286" s="5"/>
    </row>
    <row r="287" spans="4:5">
      <c r="D287" s="5"/>
      <c r="E287" s="5"/>
    </row>
    <row r="288" spans="4:5">
      <c r="D288" s="5"/>
      <c r="E288" s="5"/>
    </row>
    <row r="289" spans="4:5">
      <c r="D289" s="5"/>
      <c r="E289" s="5"/>
    </row>
    <row r="290" spans="4:5">
      <c r="D290" s="5"/>
      <c r="E290" s="5"/>
    </row>
    <row r="291" spans="4:5">
      <c r="D291" s="5"/>
      <c r="E291" s="5"/>
    </row>
    <row r="292" spans="4:5">
      <c r="D292" s="5"/>
      <c r="E292" s="5"/>
    </row>
    <row r="293" spans="4:5">
      <c r="D293" s="5"/>
      <c r="E293" s="5"/>
    </row>
    <row r="294" spans="4:5">
      <c r="D294" s="5"/>
      <c r="E294" s="5"/>
    </row>
    <row r="295" spans="4:5">
      <c r="D295" s="5"/>
      <c r="E295" s="5"/>
    </row>
    <row r="296" spans="4:5">
      <c r="D296" s="5"/>
      <c r="E296" s="5"/>
    </row>
    <row r="297" spans="4:5">
      <c r="D297" s="5"/>
      <c r="E297" s="5"/>
    </row>
    <row r="298" spans="4:5">
      <c r="D298" s="5"/>
      <c r="E298" s="5"/>
    </row>
    <row r="299" spans="4:5">
      <c r="D299" s="5"/>
      <c r="E299" s="5"/>
    </row>
    <row r="300" spans="4:5">
      <c r="D300" s="5"/>
      <c r="E300" s="5"/>
    </row>
    <row r="301" spans="4:5">
      <c r="D301" s="5"/>
      <c r="E301" s="5"/>
    </row>
    <row r="302" spans="4:5">
      <c r="D302" s="5"/>
      <c r="E302" s="5"/>
    </row>
    <row r="303" spans="4:5">
      <c r="D303" s="5"/>
      <c r="E303" s="5"/>
    </row>
    <row r="304" spans="4:5">
      <c r="D304" s="5"/>
      <c r="E304" s="5"/>
    </row>
    <row r="305" spans="4:5">
      <c r="D305" s="5"/>
      <c r="E305" s="5"/>
    </row>
    <row r="306" spans="4:5">
      <c r="D306" s="5"/>
      <c r="E306" s="5"/>
    </row>
    <row r="307" spans="4:5">
      <c r="D307" s="5"/>
      <c r="E307" s="5"/>
    </row>
    <row r="308" spans="4:5">
      <c r="D308" s="5"/>
      <c r="E308" s="5"/>
    </row>
    <row r="309" spans="4:5">
      <c r="D309" s="5"/>
      <c r="E309" s="5"/>
    </row>
    <row r="310" spans="4:5">
      <c r="D310" s="5"/>
      <c r="E310" s="5"/>
    </row>
    <row r="311" spans="4:5">
      <c r="D311" s="5"/>
      <c r="E311" s="5"/>
    </row>
    <row r="312" spans="4:5">
      <c r="D312" s="5"/>
      <c r="E312" s="5"/>
    </row>
    <row r="313" spans="4:5">
      <c r="D313" s="5"/>
      <c r="E313" s="5"/>
    </row>
    <row r="314" spans="4:5">
      <c r="D314" s="5"/>
      <c r="E314" s="5"/>
    </row>
    <row r="315" spans="4:5">
      <c r="D315" s="5"/>
      <c r="E315" s="5"/>
    </row>
    <row r="316" spans="4:5">
      <c r="D316" s="5"/>
      <c r="E316" s="5"/>
    </row>
    <row r="317" spans="4:5">
      <c r="D317" s="5"/>
      <c r="E317" s="5"/>
    </row>
    <row r="318" spans="4:5">
      <c r="D318" s="5"/>
      <c r="E318" s="5"/>
    </row>
    <row r="319" spans="4:5">
      <c r="D319" s="5"/>
      <c r="E319" s="5"/>
    </row>
    <row r="320" spans="4:5">
      <c r="D320" s="5"/>
      <c r="E320" s="5"/>
    </row>
    <row r="321" spans="4:5">
      <c r="D321" s="5"/>
      <c r="E321" s="5"/>
    </row>
    <row r="322" spans="4:5">
      <c r="D322" s="5"/>
      <c r="E322" s="5"/>
    </row>
    <row r="323" spans="4:5">
      <c r="D323" s="5"/>
      <c r="E323" s="5"/>
    </row>
    <row r="324" spans="4:5">
      <c r="D324" s="5"/>
      <c r="E324" s="5"/>
    </row>
    <row r="325" spans="4:5">
      <c r="D325" s="5"/>
      <c r="E325" s="5"/>
    </row>
    <row r="326" spans="4:5">
      <c r="D326" s="5"/>
      <c r="E326" s="5"/>
    </row>
    <row r="327" spans="4:5">
      <c r="D327" s="5"/>
      <c r="E327" s="5"/>
    </row>
    <row r="328" spans="4:5">
      <c r="D328" s="5"/>
      <c r="E328" s="5"/>
    </row>
    <row r="329" spans="4:5">
      <c r="D329" s="5"/>
      <c r="E329" s="5"/>
    </row>
    <row r="330" spans="4:5">
      <c r="D330" s="5"/>
      <c r="E330" s="5"/>
    </row>
    <row r="331" spans="4:5">
      <c r="D331" s="5"/>
      <c r="E331" s="5"/>
    </row>
    <row r="332" spans="4:5">
      <c r="D332" s="5"/>
      <c r="E332" s="5"/>
    </row>
  </sheetData>
  <mergeCells count="4">
    <mergeCell ref="A7:E7"/>
    <mergeCell ref="A4:E4"/>
    <mergeCell ref="A5:E5"/>
    <mergeCell ref="A6:E6"/>
  </mergeCells>
  <phoneticPr fontId="5" type="noConversion"/>
  <pageMargins left="0.75" right="0.75" top="1" bottom="1" header="0.5" footer="0.5"/>
  <pageSetup scale="92"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7"/>
    <pageSetUpPr fitToPage="1"/>
  </sheetPr>
  <dimension ref="A1:I321"/>
  <sheetViews>
    <sheetView workbookViewId="0">
      <selection activeCell="A4" sqref="A4:F4"/>
    </sheetView>
  </sheetViews>
  <sheetFormatPr defaultRowHeight="12.75"/>
  <cols>
    <col min="1" max="1" width="4.42578125" bestFit="1" customWidth="1"/>
    <col min="2" max="2" width="41.5703125" bestFit="1" customWidth="1"/>
    <col min="3" max="3" width="11.42578125" customWidth="1"/>
    <col min="4" max="4" width="9.28515625" style="14" bestFit="1" customWidth="1"/>
    <col min="5" max="5" width="13.5703125" customWidth="1"/>
    <col min="6" max="6" width="16.5703125" bestFit="1" customWidth="1"/>
  </cols>
  <sheetData>
    <row r="1" spans="1:9">
      <c r="F1" t="str">
        <f>'Title Input and Macros'!B7</f>
        <v>Docket No. RP16-299-000</v>
      </c>
    </row>
    <row r="2" spans="1:9">
      <c r="F2" t="s">
        <v>131</v>
      </c>
    </row>
    <row r="4" spans="1:9">
      <c r="A4" s="929" t="str">
        <f>'Sched H-1 (2)(h)'!A4:E4</f>
        <v>Tuscarora Gas Transmission Company</v>
      </c>
      <c r="B4" s="927"/>
      <c r="C4" s="927"/>
      <c r="D4" s="927"/>
      <c r="E4" s="927"/>
      <c r="F4" s="927"/>
    </row>
    <row r="5" spans="1:9">
      <c r="A5" s="927" t="s">
        <v>583</v>
      </c>
      <c r="B5" s="927"/>
      <c r="C5" s="927"/>
      <c r="D5" s="927"/>
      <c r="E5" s="927"/>
      <c r="F5" s="927"/>
    </row>
    <row r="6" spans="1:9">
      <c r="A6" s="929" t="str">
        <f>'Title Input and Macros'!B9</f>
        <v>For the Twelve Months Ended December 31, 2015, As Adjusted</v>
      </c>
      <c r="B6" s="927"/>
      <c r="C6" s="927"/>
      <c r="D6" s="927"/>
      <c r="E6" s="927"/>
      <c r="F6" s="927"/>
    </row>
    <row r="7" spans="1:9">
      <c r="A7" s="929"/>
      <c r="B7" s="929"/>
      <c r="C7" s="929"/>
      <c r="D7" s="929"/>
      <c r="E7" s="929"/>
      <c r="F7" s="929"/>
    </row>
    <row r="8" spans="1:9" s="2" customFormat="1">
      <c r="D8" s="14"/>
    </row>
    <row r="9" spans="1:9">
      <c r="A9" s="2" t="s">
        <v>352</v>
      </c>
      <c r="B9" s="2"/>
      <c r="C9" s="2"/>
      <c r="D9" s="14" t="s">
        <v>310</v>
      </c>
      <c r="E9" s="2"/>
      <c r="F9" s="2" t="s">
        <v>326</v>
      </c>
    </row>
    <row r="10" spans="1:9">
      <c r="A10" s="3" t="s">
        <v>353</v>
      </c>
      <c r="B10" s="3" t="s">
        <v>354</v>
      </c>
      <c r="C10" s="3"/>
      <c r="D10" s="15" t="s">
        <v>411</v>
      </c>
      <c r="E10" s="3" t="s">
        <v>401</v>
      </c>
      <c r="F10" s="3" t="s">
        <v>402</v>
      </c>
    </row>
    <row r="11" spans="1:9">
      <c r="B11" s="2" t="s">
        <v>361</v>
      </c>
      <c r="C11" s="2"/>
      <c r="D11" s="14" t="s">
        <v>362</v>
      </c>
      <c r="E11" s="2" t="s">
        <v>366</v>
      </c>
      <c r="F11" s="2" t="s">
        <v>363</v>
      </c>
    </row>
    <row r="12" spans="1:9">
      <c r="D12" s="14" t="s">
        <v>365</v>
      </c>
      <c r="E12" s="2" t="s">
        <v>365</v>
      </c>
      <c r="F12" s="2" t="s">
        <v>365</v>
      </c>
    </row>
    <row r="13" spans="1:9" s="72" customFormat="1">
      <c r="A13" s="513">
        <v>1</v>
      </c>
      <c r="B13" s="532" t="s">
        <v>803</v>
      </c>
      <c r="C13" s="541">
        <v>930</v>
      </c>
      <c r="D13" s="635">
        <v>66000</v>
      </c>
      <c r="E13" s="270">
        <v>0</v>
      </c>
      <c r="F13" s="294">
        <f t="shared" ref="F13" si="0">+D13+E13</f>
        <v>66000</v>
      </c>
      <c r="H13" s="139"/>
      <c r="I13" s="135"/>
    </row>
    <row r="14" spans="1:9" ht="13.5" thickBot="1">
      <c r="A14" s="507">
        <f>A13+1</f>
        <v>2</v>
      </c>
      <c r="B14" s="532" t="s">
        <v>614</v>
      </c>
      <c r="C14" s="541"/>
      <c r="D14" s="137">
        <f>SUM(D13:D13)</f>
        <v>66000</v>
      </c>
      <c r="E14" s="137">
        <f>SUM(E13:E13)</f>
        <v>0</v>
      </c>
      <c r="F14" s="137">
        <f>SUM(F13:F13)</f>
        <v>66000</v>
      </c>
    </row>
    <row r="15" spans="1:9" ht="13.5" thickTop="1">
      <c r="D15" s="70"/>
      <c r="E15" s="68"/>
      <c r="F15" s="68"/>
    </row>
    <row r="17" spans="5:6">
      <c r="F17" s="68"/>
    </row>
    <row r="27" spans="5:6">
      <c r="E27" s="5"/>
      <c r="F27" s="5"/>
    </row>
    <row r="28" spans="5:6">
      <c r="E28" s="5"/>
      <c r="F28" s="5"/>
    </row>
    <row r="29" spans="5:6">
      <c r="E29" s="5"/>
      <c r="F29" s="5"/>
    </row>
    <row r="30" spans="5:6">
      <c r="E30" s="5"/>
      <c r="F30" s="5"/>
    </row>
    <row r="31" spans="5:6">
      <c r="E31" s="5"/>
      <c r="F31" s="5"/>
    </row>
    <row r="32" spans="5:6">
      <c r="E32" s="5"/>
      <c r="F32" s="5"/>
    </row>
    <row r="33" spans="5:6">
      <c r="E33" s="5"/>
      <c r="F33" s="5"/>
    </row>
    <row r="34" spans="5:6">
      <c r="E34" s="5"/>
      <c r="F34" s="5"/>
    </row>
    <row r="35" spans="5:6">
      <c r="E35" s="5"/>
      <c r="F35" s="5"/>
    </row>
    <row r="36" spans="5:6">
      <c r="E36" s="5"/>
      <c r="F36" s="5"/>
    </row>
    <row r="37" spans="5:6">
      <c r="E37" s="5"/>
      <c r="F37" s="5"/>
    </row>
    <row r="38" spans="5:6">
      <c r="E38" s="5"/>
      <c r="F38" s="5"/>
    </row>
    <row r="39" spans="5:6">
      <c r="E39" s="5"/>
      <c r="F39" s="5"/>
    </row>
    <row r="40" spans="5:6">
      <c r="E40" s="5"/>
      <c r="F40" s="5"/>
    </row>
    <row r="41" spans="5:6">
      <c r="E41" s="5"/>
      <c r="F41" s="5"/>
    </row>
    <row r="42" spans="5:6">
      <c r="E42" s="5"/>
      <c r="F42" s="5"/>
    </row>
    <row r="43" spans="5:6">
      <c r="E43" s="5"/>
      <c r="F43" s="5"/>
    </row>
    <row r="44" spans="5:6">
      <c r="E44" s="5"/>
      <c r="F44" s="5"/>
    </row>
    <row r="45" spans="5:6">
      <c r="E45" s="5"/>
      <c r="F45" s="5"/>
    </row>
    <row r="46" spans="5:6">
      <c r="E46" s="5"/>
      <c r="F46" s="5"/>
    </row>
    <row r="47" spans="5:6">
      <c r="E47" s="5"/>
      <c r="F47" s="5"/>
    </row>
    <row r="48" spans="5:6">
      <c r="E48" s="5"/>
      <c r="F48" s="5"/>
    </row>
    <row r="49" spans="5:6">
      <c r="E49" s="5"/>
      <c r="F49" s="5"/>
    </row>
    <row r="50" spans="5:6">
      <c r="E50" s="5"/>
      <c r="F50" s="5"/>
    </row>
    <row r="51" spans="5:6">
      <c r="E51" s="5"/>
      <c r="F51" s="5"/>
    </row>
    <row r="52" spans="5:6">
      <c r="E52" s="5"/>
      <c r="F52" s="5"/>
    </row>
    <row r="53" spans="5:6">
      <c r="E53" s="5"/>
      <c r="F53" s="5"/>
    </row>
    <row r="54" spans="5:6">
      <c r="E54" s="5"/>
      <c r="F54" s="5"/>
    </row>
    <row r="55" spans="5:6">
      <c r="E55" s="5"/>
      <c r="F55" s="5"/>
    </row>
    <row r="56" spans="5:6">
      <c r="E56" s="5"/>
      <c r="F56" s="5"/>
    </row>
    <row r="57" spans="5:6">
      <c r="E57" s="5"/>
      <c r="F57" s="5"/>
    </row>
    <row r="58" spans="5:6">
      <c r="E58" s="5"/>
      <c r="F58" s="5"/>
    </row>
    <row r="59" spans="5:6">
      <c r="E59" s="5"/>
      <c r="F59" s="5"/>
    </row>
    <row r="60" spans="5:6">
      <c r="E60" s="5"/>
      <c r="F60" s="5"/>
    </row>
    <row r="61" spans="5:6">
      <c r="E61" s="5"/>
      <c r="F61" s="5"/>
    </row>
    <row r="62" spans="5:6">
      <c r="E62" s="5"/>
      <c r="F62" s="5"/>
    </row>
    <row r="63" spans="5:6">
      <c r="E63" s="5"/>
      <c r="F63" s="5"/>
    </row>
    <row r="64" spans="5:6">
      <c r="E64" s="5"/>
      <c r="F64" s="5"/>
    </row>
    <row r="65" spans="5:6">
      <c r="E65" s="5"/>
      <c r="F65" s="5"/>
    </row>
    <row r="66" spans="5:6">
      <c r="E66" s="5"/>
      <c r="F66" s="5"/>
    </row>
    <row r="67" spans="5:6">
      <c r="E67" s="5"/>
      <c r="F67" s="5"/>
    </row>
    <row r="68" spans="5:6">
      <c r="E68" s="5"/>
      <c r="F68" s="5"/>
    </row>
    <row r="69" spans="5:6">
      <c r="E69" s="5"/>
      <c r="F69" s="5"/>
    </row>
    <row r="70" spans="5:6">
      <c r="E70" s="5"/>
      <c r="F70" s="5"/>
    </row>
    <row r="71" spans="5:6">
      <c r="E71" s="5"/>
      <c r="F71" s="5"/>
    </row>
    <row r="72" spans="5:6">
      <c r="E72" s="5"/>
      <c r="F72" s="5"/>
    </row>
    <row r="73" spans="5:6">
      <c r="E73" s="5"/>
      <c r="F73" s="5"/>
    </row>
    <row r="74" spans="5:6">
      <c r="E74" s="5"/>
      <c r="F74" s="5"/>
    </row>
    <row r="75" spans="5:6">
      <c r="E75" s="5"/>
      <c r="F75" s="5"/>
    </row>
    <row r="76" spans="5:6">
      <c r="E76" s="5"/>
      <c r="F76" s="5"/>
    </row>
    <row r="77" spans="5:6">
      <c r="E77" s="5"/>
      <c r="F77" s="5"/>
    </row>
    <row r="78" spans="5:6">
      <c r="E78" s="5"/>
      <c r="F78" s="5"/>
    </row>
    <row r="79" spans="5:6">
      <c r="E79" s="5"/>
      <c r="F79" s="5"/>
    </row>
    <row r="80" spans="5:6">
      <c r="E80" s="5"/>
      <c r="F80" s="5"/>
    </row>
    <row r="81" spans="5:6">
      <c r="E81" s="5"/>
      <c r="F81" s="5"/>
    </row>
    <row r="82" spans="5:6">
      <c r="E82" s="5"/>
      <c r="F82" s="5"/>
    </row>
    <row r="83" spans="5:6">
      <c r="E83" s="5"/>
      <c r="F83" s="5"/>
    </row>
    <row r="84" spans="5:6">
      <c r="E84" s="5"/>
      <c r="F84" s="5"/>
    </row>
    <row r="85" spans="5:6">
      <c r="E85" s="5"/>
      <c r="F85" s="5"/>
    </row>
    <row r="86" spans="5:6">
      <c r="E86" s="5"/>
      <c r="F86" s="5"/>
    </row>
    <row r="87" spans="5:6">
      <c r="E87" s="5"/>
      <c r="F87" s="5"/>
    </row>
    <row r="88" spans="5:6">
      <c r="E88" s="5"/>
      <c r="F88" s="5"/>
    </row>
    <row r="89" spans="5:6">
      <c r="E89" s="5"/>
      <c r="F89" s="5"/>
    </row>
    <row r="90" spans="5:6">
      <c r="E90" s="5"/>
      <c r="F90" s="5"/>
    </row>
    <row r="91" spans="5:6">
      <c r="E91" s="5"/>
      <c r="F91" s="5"/>
    </row>
    <row r="92" spans="5:6">
      <c r="E92" s="5"/>
      <c r="F92" s="5"/>
    </row>
    <row r="93" spans="5:6">
      <c r="E93" s="5"/>
      <c r="F93" s="5"/>
    </row>
    <row r="94" spans="5:6">
      <c r="E94" s="5"/>
      <c r="F94" s="5"/>
    </row>
    <row r="95" spans="5:6">
      <c r="E95" s="5"/>
      <c r="F95" s="5"/>
    </row>
    <row r="96" spans="5:6">
      <c r="E96" s="5"/>
      <c r="F96" s="5"/>
    </row>
    <row r="97" spans="5:6">
      <c r="E97" s="5"/>
      <c r="F97" s="5"/>
    </row>
    <row r="98" spans="5:6">
      <c r="E98" s="5"/>
      <c r="F98" s="5"/>
    </row>
    <row r="99" spans="5:6">
      <c r="E99" s="5"/>
      <c r="F99" s="5"/>
    </row>
    <row r="100" spans="5:6">
      <c r="E100" s="5"/>
      <c r="F100" s="5"/>
    </row>
    <row r="101" spans="5:6">
      <c r="E101" s="5"/>
      <c r="F101" s="5"/>
    </row>
    <row r="102" spans="5:6">
      <c r="E102" s="5"/>
      <c r="F102" s="5"/>
    </row>
    <row r="103" spans="5:6">
      <c r="E103" s="5"/>
      <c r="F103" s="5"/>
    </row>
    <row r="104" spans="5:6">
      <c r="E104" s="5"/>
      <c r="F104" s="5"/>
    </row>
    <row r="105" spans="5:6">
      <c r="E105" s="5"/>
      <c r="F105" s="5"/>
    </row>
    <row r="106" spans="5:6">
      <c r="E106" s="5"/>
      <c r="F106" s="5"/>
    </row>
    <row r="107" spans="5:6">
      <c r="E107" s="5"/>
      <c r="F107" s="5"/>
    </row>
    <row r="108" spans="5:6">
      <c r="E108" s="5"/>
      <c r="F108" s="5"/>
    </row>
    <row r="109" spans="5:6">
      <c r="E109" s="5"/>
      <c r="F109" s="5"/>
    </row>
    <row r="110" spans="5:6">
      <c r="E110" s="5"/>
      <c r="F110" s="5"/>
    </row>
    <row r="111" spans="5:6">
      <c r="E111" s="5"/>
      <c r="F111" s="5"/>
    </row>
    <row r="112" spans="5:6">
      <c r="E112" s="5"/>
      <c r="F112" s="5"/>
    </row>
    <row r="113" spans="5:6">
      <c r="E113" s="5"/>
      <c r="F113" s="5"/>
    </row>
    <row r="114" spans="5:6">
      <c r="E114" s="5"/>
      <c r="F114" s="5"/>
    </row>
    <row r="115" spans="5:6">
      <c r="E115" s="5"/>
      <c r="F115" s="5"/>
    </row>
    <row r="116" spans="5:6">
      <c r="E116" s="5"/>
      <c r="F116" s="5"/>
    </row>
    <row r="117" spans="5:6">
      <c r="E117" s="5"/>
      <c r="F117" s="5"/>
    </row>
    <row r="118" spans="5:6">
      <c r="E118" s="5"/>
      <c r="F118" s="5"/>
    </row>
    <row r="119" spans="5:6">
      <c r="E119" s="5"/>
      <c r="F119" s="5"/>
    </row>
    <row r="120" spans="5:6">
      <c r="E120" s="5"/>
      <c r="F120" s="5"/>
    </row>
    <row r="121" spans="5:6">
      <c r="E121" s="5"/>
      <c r="F121" s="5"/>
    </row>
    <row r="122" spans="5:6">
      <c r="E122" s="5"/>
      <c r="F122" s="5"/>
    </row>
    <row r="123" spans="5:6">
      <c r="E123" s="5"/>
      <c r="F123" s="5"/>
    </row>
    <row r="124" spans="5:6">
      <c r="E124" s="5"/>
      <c r="F124" s="5"/>
    </row>
    <row r="125" spans="5:6">
      <c r="E125" s="5"/>
      <c r="F125" s="5"/>
    </row>
    <row r="126" spans="5:6">
      <c r="E126" s="5"/>
      <c r="F126" s="5"/>
    </row>
    <row r="127" spans="5:6">
      <c r="E127" s="5"/>
      <c r="F127" s="5"/>
    </row>
    <row r="128" spans="5:6">
      <c r="E128" s="5"/>
      <c r="F128" s="5"/>
    </row>
    <row r="129" spans="5:6">
      <c r="E129" s="5"/>
      <c r="F129" s="5"/>
    </row>
    <row r="130" spans="5:6">
      <c r="E130" s="5"/>
      <c r="F130" s="5"/>
    </row>
    <row r="131" spans="5:6">
      <c r="E131" s="5"/>
      <c r="F131" s="5"/>
    </row>
    <row r="132" spans="5:6">
      <c r="E132" s="5"/>
      <c r="F132" s="5"/>
    </row>
    <row r="133" spans="5:6">
      <c r="E133" s="5"/>
      <c r="F133" s="5"/>
    </row>
    <row r="134" spans="5:6">
      <c r="E134" s="5"/>
      <c r="F134" s="5"/>
    </row>
    <row r="135" spans="5:6">
      <c r="E135" s="5"/>
      <c r="F135" s="5"/>
    </row>
    <row r="136" spans="5:6">
      <c r="E136" s="5"/>
      <c r="F136" s="5"/>
    </row>
    <row r="137" spans="5:6">
      <c r="E137" s="5"/>
      <c r="F137" s="5"/>
    </row>
    <row r="138" spans="5:6">
      <c r="E138" s="5"/>
      <c r="F138" s="5"/>
    </row>
    <row r="139" spans="5:6">
      <c r="E139" s="5"/>
      <c r="F139" s="5"/>
    </row>
    <row r="140" spans="5:6">
      <c r="E140" s="5"/>
      <c r="F140" s="5"/>
    </row>
    <row r="141" spans="5:6">
      <c r="E141" s="5"/>
      <c r="F141" s="5"/>
    </row>
    <row r="142" spans="5:6">
      <c r="E142" s="5"/>
      <c r="F142" s="5"/>
    </row>
    <row r="143" spans="5:6">
      <c r="E143" s="5"/>
      <c r="F143" s="5"/>
    </row>
    <row r="144" spans="5:6">
      <c r="E144" s="5"/>
      <c r="F144" s="5"/>
    </row>
    <row r="145" spans="5:6">
      <c r="E145" s="5"/>
      <c r="F145" s="5"/>
    </row>
    <row r="146" spans="5:6">
      <c r="E146" s="5"/>
      <c r="F146" s="5"/>
    </row>
    <row r="147" spans="5:6">
      <c r="E147" s="5"/>
      <c r="F147" s="5"/>
    </row>
    <row r="148" spans="5:6">
      <c r="E148" s="5"/>
      <c r="F148" s="5"/>
    </row>
    <row r="149" spans="5:6">
      <c r="E149" s="5"/>
      <c r="F149" s="5"/>
    </row>
    <row r="150" spans="5:6">
      <c r="E150" s="5"/>
      <c r="F150" s="5"/>
    </row>
    <row r="151" spans="5:6">
      <c r="E151" s="5"/>
      <c r="F151" s="5"/>
    </row>
    <row r="152" spans="5:6">
      <c r="E152" s="5"/>
      <c r="F152" s="5"/>
    </row>
    <row r="153" spans="5:6">
      <c r="E153" s="5"/>
      <c r="F153" s="5"/>
    </row>
    <row r="154" spans="5:6">
      <c r="E154" s="5"/>
      <c r="F154" s="5"/>
    </row>
    <row r="155" spans="5:6">
      <c r="E155" s="5"/>
      <c r="F155" s="5"/>
    </row>
    <row r="156" spans="5:6">
      <c r="E156" s="5"/>
      <c r="F156" s="5"/>
    </row>
    <row r="157" spans="5:6">
      <c r="E157" s="5"/>
      <c r="F157" s="5"/>
    </row>
    <row r="158" spans="5:6">
      <c r="E158" s="5"/>
      <c r="F158" s="5"/>
    </row>
    <row r="159" spans="5:6">
      <c r="E159" s="5"/>
      <c r="F159" s="5"/>
    </row>
    <row r="160" spans="5:6">
      <c r="E160" s="5"/>
      <c r="F160" s="5"/>
    </row>
    <row r="161" spans="5:6">
      <c r="E161" s="5"/>
      <c r="F161" s="5"/>
    </row>
    <row r="162" spans="5:6">
      <c r="E162" s="5"/>
      <c r="F162" s="5"/>
    </row>
    <row r="163" spans="5:6">
      <c r="E163" s="5"/>
      <c r="F163" s="5"/>
    </row>
    <row r="164" spans="5:6">
      <c r="E164" s="5"/>
      <c r="F164" s="5"/>
    </row>
    <row r="165" spans="5:6">
      <c r="E165" s="5"/>
      <c r="F165" s="5"/>
    </row>
    <row r="166" spans="5:6">
      <c r="E166" s="5"/>
      <c r="F166" s="5"/>
    </row>
    <row r="167" spans="5:6">
      <c r="E167" s="5"/>
      <c r="F167" s="5"/>
    </row>
    <row r="168" spans="5:6">
      <c r="E168" s="5"/>
      <c r="F168" s="5"/>
    </row>
    <row r="169" spans="5:6">
      <c r="E169" s="5"/>
      <c r="F169" s="5"/>
    </row>
    <row r="170" spans="5:6">
      <c r="E170" s="5"/>
      <c r="F170" s="5"/>
    </row>
    <row r="171" spans="5:6">
      <c r="E171" s="5"/>
      <c r="F171" s="5"/>
    </row>
    <row r="172" spans="5:6">
      <c r="E172" s="5"/>
      <c r="F172" s="5"/>
    </row>
    <row r="173" spans="5:6">
      <c r="E173" s="5"/>
      <c r="F173" s="5"/>
    </row>
    <row r="174" spans="5:6">
      <c r="E174" s="5"/>
      <c r="F174" s="5"/>
    </row>
    <row r="175" spans="5:6">
      <c r="E175" s="5"/>
      <c r="F175" s="5"/>
    </row>
    <row r="176" spans="5:6">
      <c r="E176" s="5"/>
      <c r="F176" s="5"/>
    </row>
    <row r="177" spans="5:6">
      <c r="E177" s="5"/>
      <c r="F177" s="5"/>
    </row>
    <row r="178" spans="5:6">
      <c r="E178" s="5"/>
      <c r="F178" s="5"/>
    </row>
    <row r="179" spans="5:6">
      <c r="E179" s="5"/>
      <c r="F179" s="5"/>
    </row>
    <row r="180" spans="5:6">
      <c r="E180" s="5"/>
      <c r="F180" s="5"/>
    </row>
    <row r="181" spans="5:6">
      <c r="E181" s="5"/>
      <c r="F181" s="5"/>
    </row>
    <row r="182" spans="5:6">
      <c r="E182" s="5"/>
      <c r="F182" s="5"/>
    </row>
    <row r="183" spans="5:6">
      <c r="E183" s="5"/>
      <c r="F183" s="5"/>
    </row>
    <row r="184" spans="5:6">
      <c r="E184" s="5"/>
      <c r="F184" s="5"/>
    </row>
    <row r="185" spans="5:6">
      <c r="E185" s="5"/>
      <c r="F185" s="5"/>
    </row>
    <row r="186" spans="5:6">
      <c r="E186" s="5"/>
      <c r="F186" s="5"/>
    </row>
    <row r="187" spans="5:6">
      <c r="E187" s="5"/>
      <c r="F187" s="5"/>
    </row>
    <row r="188" spans="5:6">
      <c r="E188" s="5"/>
      <c r="F188" s="5"/>
    </row>
    <row r="189" spans="5:6">
      <c r="E189" s="5"/>
      <c r="F189" s="5"/>
    </row>
    <row r="190" spans="5:6">
      <c r="E190" s="5"/>
      <c r="F190" s="5"/>
    </row>
    <row r="191" spans="5:6">
      <c r="E191" s="5"/>
      <c r="F191" s="5"/>
    </row>
    <row r="192" spans="5:6">
      <c r="E192" s="5"/>
      <c r="F192" s="5"/>
    </row>
    <row r="193" spans="5:6">
      <c r="E193" s="5"/>
      <c r="F193" s="5"/>
    </row>
    <row r="194" spans="5:6">
      <c r="E194" s="5"/>
      <c r="F194" s="5"/>
    </row>
    <row r="195" spans="5:6">
      <c r="E195" s="5"/>
      <c r="F195" s="5"/>
    </row>
    <row r="196" spans="5:6">
      <c r="E196" s="5"/>
      <c r="F196" s="5"/>
    </row>
    <row r="197" spans="5:6">
      <c r="E197" s="5"/>
      <c r="F197" s="5"/>
    </row>
    <row r="198" spans="5:6">
      <c r="E198" s="5"/>
      <c r="F198" s="5"/>
    </row>
    <row r="199" spans="5:6">
      <c r="E199" s="5"/>
      <c r="F199" s="5"/>
    </row>
    <row r="200" spans="5:6">
      <c r="E200" s="5"/>
      <c r="F200" s="5"/>
    </row>
    <row r="201" spans="5:6">
      <c r="E201" s="5"/>
      <c r="F201" s="5"/>
    </row>
    <row r="202" spans="5:6">
      <c r="E202" s="5"/>
      <c r="F202" s="5"/>
    </row>
    <row r="203" spans="5:6">
      <c r="E203" s="5"/>
      <c r="F203" s="5"/>
    </row>
    <row r="204" spans="5:6">
      <c r="E204" s="5"/>
      <c r="F204" s="5"/>
    </row>
    <row r="205" spans="5:6">
      <c r="E205" s="5"/>
      <c r="F205" s="5"/>
    </row>
    <row r="206" spans="5:6">
      <c r="E206" s="5"/>
      <c r="F206" s="5"/>
    </row>
    <row r="207" spans="5:6">
      <c r="E207" s="5"/>
      <c r="F207" s="5"/>
    </row>
    <row r="208" spans="5:6">
      <c r="E208" s="5"/>
      <c r="F208" s="5"/>
    </row>
    <row r="209" spans="5:6">
      <c r="E209" s="5"/>
      <c r="F209" s="5"/>
    </row>
    <row r="210" spans="5:6">
      <c r="E210" s="5"/>
      <c r="F210" s="5"/>
    </row>
    <row r="211" spans="5:6">
      <c r="E211" s="5"/>
      <c r="F211" s="5"/>
    </row>
    <row r="212" spans="5:6">
      <c r="E212" s="5"/>
      <c r="F212" s="5"/>
    </row>
    <row r="213" spans="5:6">
      <c r="E213" s="5"/>
      <c r="F213" s="5"/>
    </row>
    <row r="214" spans="5:6">
      <c r="E214" s="5"/>
      <c r="F214" s="5"/>
    </row>
    <row r="215" spans="5:6">
      <c r="E215" s="5"/>
      <c r="F215" s="5"/>
    </row>
    <row r="216" spans="5:6">
      <c r="E216" s="5"/>
      <c r="F216" s="5"/>
    </row>
    <row r="217" spans="5:6">
      <c r="E217" s="5"/>
      <c r="F217" s="5"/>
    </row>
    <row r="218" spans="5:6">
      <c r="E218" s="5"/>
      <c r="F218" s="5"/>
    </row>
    <row r="219" spans="5:6">
      <c r="E219" s="5"/>
      <c r="F219" s="5"/>
    </row>
    <row r="220" spans="5:6">
      <c r="E220" s="5"/>
      <c r="F220" s="5"/>
    </row>
    <row r="221" spans="5:6">
      <c r="E221" s="5"/>
      <c r="F221" s="5"/>
    </row>
    <row r="222" spans="5:6">
      <c r="E222" s="5"/>
      <c r="F222" s="5"/>
    </row>
    <row r="223" spans="5:6">
      <c r="E223" s="5"/>
      <c r="F223" s="5"/>
    </row>
    <row r="224" spans="5:6">
      <c r="E224" s="5"/>
      <c r="F224" s="5"/>
    </row>
    <row r="225" spans="5:6">
      <c r="E225" s="5"/>
      <c r="F225" s="5"/>
    </row>
    <row r="226" spans="5:6">
      <c r="E226" s="5"/>
      <c r="F226" s="5"/>
    </row>
    <row r="227" spans="5:6">
      <c r="E227" s="5"/>
      <c r="F227" s="5"/>
    </row>
    <row r="228" spans="5:6">
      <c r="E228" s="5"/>
      <c r="F228" s="5"/>
    </row>
    <row r="229" spans="5:6">
      <c r="E229" s="5"/>
      <c r="F229" s="5"/>
    </row>
    <row r="230" spans="5:6">
      <c r="E230" s="5"/>
      <c r="F230" s="5"/>
    </row>
    <row r="231" spans="5:6">
      <c r="E231" s="5"/>
      <c r="F231" s="5"/>
    </row>
    <row r="232" spans="5:6">
      <c r="E232" s="5"/>
      <c r="F232" s="5"/>
    </row>
    <row r="233" spans="5:6">
      <c r="E233" s="5"/>
      <c r="F233" s="5"/>
    </row>
    <row r="234" spans="5:6">
      <c r="E234" s="5"/>
      <c r="F234" s="5"/>
    </row>
    <row r="235" spans="5:6">
      <c r="E235" s="5"/>
      <c r="F235" s="5"/>
    </row>
    <row r="236" spans="5:6">
      <c r="E236" s="5"/>
      <c r="F236" s="5"/>
    </row>
    <row r="237" spans="5:6">
      <c r="E237" s="5"/>
      <c r="F237" s="5"/>
    </row>
    <row r="238" spans="5:6">
      <c r="E238" s="5"/>
      <c r="F238" s="5"/>
    </row>
    <row r="239" spans="5:6">
      <c r="E239" s="5"/>
      <c r="F239" s="5"/>
    </row>
    <row r="240" spans="5:6">
      <c r="E240" s="5"/>
      <c r="F240" s="5"/>
    </row>
    <row r="241" spans="5:6">
      <c r="E241" s="5"/>
      <c r="F241" s="5"/>
    </row>
    <row r="242" spans="5:6">
      <c r="E242" s="5"/>
      <c r="F242" s="5"/>
    </row>
    <row r="243" spans="5:6">
      <c r="E243" s="5"/>
      <c r="F243" s="5"/>
    </row>
    <row r="244" spans="5:6">
      <c r="E244" s="5"/>
      <c r="F244" s="5"/>
    </row>
    <row r="245" spans="5:6">
      <c r="E245" s="5"/>
      <c r="F245" s="5"/>
    </row>
    <row r="246" spans="5:6">
      <c r="E246" s="5"/>
      <c r="F246" s="5"/>
    </row>
    <row r="247" spans="5:6">
      <c r="E247" s="5"/>
      <c r="F247" s="5"/>
    </row>
    <row r="248" spans="5:6">
      <c r="E248" s="5"/>
      <c r="F248" s="5"/>
    </row>
    <row r="249" spans="5:6">
      <c r="E249" s="5"/>
      <c r="F249" s="5"/>
    </row>
    <row r="250" spans="5:6">
      <c r="E250" s="5"/>
      <c r="F250" s="5"/>
    </row>
    <row r="251" spans="5:6">
      <c r="E251" s="5"/>
      <c r="F251" s="5"/>
    </row>
    <row r="252" spans="5:6">
      <c r="E252" s="5"/>
      <c r="F252" s="5"/>
    </row>
    <row r="253" spans="5:6">
      <c r="E253" s="5"/>
      <c r="F253" s="5"/>
    </row>
    <row r="254" spans="5:6">
      <c r="E254" s="5"/>
      <c r="F254" s="5"/>
    </row>
    <row r="255" spans="5:6">
      <c r="E255" s="5"/>
      <c r="F255" s="5"/>
    </row>
    <row r="256" spans="5:6">
      <c r="E256" s="5"/>
      <c r="F256" s="5"/>
    </row>
    <row r="257" spans="5:6">
      <c r="E257" s="5"/>
      <c r="F257" s="5"/>
    </row>
    <row r="258" spans="5:6">
      <c r="E258" s="5"/>
      <c r="F258" s="5"/>
    </row>
    <row r="259" spans="5:6">
      <c r="E259" s="5"/>
      <c r="F259" s="5"/>
    </row>
    <row r="260" spans="5:6">
      <c r="E260" s="5"/>
      <c r="F260" s="5"/>
    </row>
    <row r="261" spans="5:6">
      <c r="E261" s="5"/>
      <c r="F261" s="5"/>
    </row>
    <row r="262" spans="5:6">
      <c r="E262" s="5"/>
      <c r="F262" s="5"/>
    </row>
    <row r="263" spans="5:6">
      <c r="E263" s="5"/>
      <c r="F263" s="5"/>
    </row>
    <row r="264" spans="5:6">
      <c r="E264" s="5"/>
      <c r="F264" s="5"/>
    </row>
    <row r="265" spans="5:6">
      <c r="E265" s="5"/>
      <c r="F265" s="5"/>
    </row>
    <row r="266" spans="5:6">
      <c r="E266" s="5"/>
      <c r="F266" s="5"/>
    </row>
    <row r="267" spans="5:6">
      <c r="E267" s="5"/>
      <c r="F267" s="5"/>
    </row>
    <row r="268" spans="5:6">
      <c r="E268" s="5"/>
      <c r="F268" s="5"/>
    </row>
    <row r="269" spans="5:6">
      <c r="E269" s="5"/>
      <c r="F269" s="5"/>
    </row>
    <row r="270" spans="5:6">
      <c r="E270" s="5"/>
      <c r="F270" s="5"/>
    </row>
    <row r="271" spans="5:6">
      <c r="E271" s="5"/>
      <c r="F271" s="5"/>
    </row>
    <row r="272" spans="5:6">
      <c r="E272" s="5"/>
      <c r="F272" s="5"/>
    </row>
    <row r="273" spans="5:6">
      <c r="E273" s="5"/>
      <c r="F273" s="5"/>
    </row>
    <row r="274" spans="5:6">
      <c r="E274" s="5"/>
      <c r="F274" s="5"/>
    </row>
    <row r="275" spans="5:6">
      <c r="E275" s="5"/>
      <c r="F275" s="5"/>
    </row>
    <row r="276" spans="5:6">
      <c r="E276" s="5"/>
      <c r="F276" s="5"/>
    </row>
    <row r="277" spans="5:6">
      <c r="E277" s="5"/>
      <c r="F277" s="5"/>
    </row>
    <row r="278" spans="5:6">
      <c r="E278" s="5"/>
      <c r="F278" s="5"/>
    </row>
    <row r="279" spans="5:6">
      <c r="E279" s="5"/>
      <c r="F279" s="5"/>
    </row>
    <row r="280" spans="5:6">
      <c r="E280" s="5"/>
      <c r="F280" s="5"/>
    </row>
    <row r="281" spans="5:6">
      <c r="E281" s="5"/>
      <c r="F281" s="5"/>
    </row>
    <row r="282" spans="5:6">
      <c r="E282" s="5"/>
      <c r="F282" s="5"/>
    </row>
    <row r="283" spans="5:6">
      <c r="E283" s="5"/>
      <c r="F283" s="5"/>
    </row>
    <row r="284" spans="5:6">
      <c r="E284" s="5"/>
      <c r="F284" s="5"/>
    </row>
    <row r="285" spans="5:6">
      <c r="E285" s="5"/>
      <c r="F285" s="5"/>
    </row>
    <row r="286" spans="5:6">
      <c r="E286" s="5"/>
      <c r="F286" s="5"/>
    </row>
    <row r="287" spans="5:6">
      <c r="E287" s="5"/>
      <c r="F287" s="5"/>
    </row>
    <row r="288" spans="5:6">
      <c r="E288" s="5"/>
      <c r="F288" s="5"/>
    </row>
    <row r="289" spans="5:6">
      <c r="E289" s="5"/>
      <c r="F289" s="5"/>
    </row>
    <row r="290" spans="5:6">
      <c r="E290" s="5"/>
      <c r="F290" s="5"/>
    </row>
    <row r="291" spans="5:6">
      <c r="E291" s="5"/>
      <c r="F291" s="5"/>
    </row>
    <row r="292" spans="5:6">
      <c r="E292" s="5"/>
      <c r="F292" s="5"/>
    </row>
    <row r="293" spans="5:6">
      <c r="E293" s="5"/>
      <c r="F293" s="5"/>
    </row>
    <row r="294" spans="5:6">
      <c r="E294" s="5"/>
      <c r="F294" s="5"/>
    </row>
    <row r="295" spans="5:6">
      <c r="E295" s="5"/>
      <c r="F295" s="5"/>
    </row>
    <row r="296" spans="5:6">
      <c r="E296" s="5"/>
      <c r="F296" s="5"/>
    </row>
    <row r="297" spans="5:6">
      <c r="E297" s="5"/>
      <c r="F297" s="5"/>
    </row>
    <row r="298" spans="5:6">
      <c r="E298" s="5"/>
      <c r="F298" s="5"/>
    </row>
    <row r="299" spans="5:6">
      <c r="E299" s="5"/>
      <c r="F299" s="5"/>
    </row>
    <row r="300" spans="5:6">
      <c r="E300" s="5"/>
      <c r="F300" s="5"/>
    </row>
    <row r="301" spans="5:6">
      <c r="E301" s="5"/>
      <c r="F301" s="5"/>
    </row>
    <row r="302" spans="5:6">
      <c r="E302" s="5"/>
      <c r="F302" s="5"/>
    </row>
    <row r="303" spans="5:6">
      <c r="E303" s="5"/>
      <c r="F303" s="5"/>
    </row>
    <row r="304" spans="5:6">
      <c r="E304" s="5"/>
      <c r="F304" s="5"/>
    </row>
    <row r="305" spans="5:6">
      <c r="E305" s="5"/>
      <c r="F305" s="5"/>
    </row>
    <row r="306" spans="5:6">
      <c r="E306" s="5"/>
      <c r="F306" s="5"/>
    </row>
    <row r="307" spans="5:6">
      <c r="E307" s="5"/>
      <c r="F307" s="5"/>
    </row>
    <row r="308" spans="5:6">
      <c r="E308" s="5"/>
      <c r="F308" s="5"/>
    </row>
    <row r="309" spans="5:6">
      <c r="E309" s="5"/>
      <c r="F309" s="5"/>
    </row>
    <row r="310" spans="5:6">
      <c r="E310" s="5"/>
      <c r="F310" s="5"/>
    </row>
    <row r="311" spans="5:6">
      <c r="E311" s="5"/>
      <c r="F311" s="5"/>
    </row>
    <row r="312" spans="5:6">
      <c r="E312" s="5"/>
      <c r="F312" s="5"/>
    </row>
    <row r="313" spans="5:6">
      <c r="E313" s="5"/>
      <c r="F313" s="5"/>
    </row>
    <row r="314" spans="5:6">
      <c r="E314" s="5"/>
      <c r="F314" s="5"/>
    </row>
    <row r="315" spans="5:6">
      <c r="E315" s="5"/>
      <c r="F315" s="5"/>
    </row>
    <row r="316" spans="5:6">
      <c r="E316" s="5"/>
      <c r="F316" s="5"/>
    </row>
    <row r="317" spans="5:6">
      <c r="E317" s="5"/>
      <c r="F317" s="5"/>
    </row>
    <row r="318" spans="5:6">
      <c r="E318" s="5"/>
      <c r="F318" s="5"/>
    </row>
    <row r="319" spans="5:6">
      <c r="E319" s="5"/>
      <c r="F319" s="5"/>
    </row>
    <row r="320" spans="5:6">
      <c r="E320" s="5"/>
      <c r="F320" s="5"/>
    </row>
    <row r="321" spans="5:6">
      <c r="E321" s="5"/>
      <c r="F321" s="5"/>
    </row>
  </sheetData>
  <mergeCells count="4">
    <mergeCell ref="A4:F4"/>
    <mergeCell ref="A5:F5"/>
    <mergeCell ref="A6:F6"/>
    <mergeCell ref="A7:F7"/>
  </mergeCells>
  <phoneticPr fontId="5" type="noConversion"/>
  <pageMargins left="0.75" right="0.75" top="1" bottom="1" header="0.5" footer="0.5"/>
  <pageSetup scale="85"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indexed="17"/>
    <pageSetUpPr fitToPage="1"/>
  </sheetPr>
  <dimension ref="A1:AC311"/>
  <sheetViews>
    <sheetView workbookViewId="0">
      <selection activeCell="B19" sqref="B19"/>
    </sheetView>
  </sheetViews>
  <sheetFormatPr defaultRowHeight="12.75"/>
  <cols>
    <col min="1" max="1" width="4.42578125" style="72" bestFit="1" customWidth="1"/>
    <col min="2" max="2" width="51.28515625" style="72" bestFit="1" customWidth="1"/>
    <col min="3" max="5" width="12.85546875" style="72" bestFit="1" customWidth="1"/>
    <col min="6" max="6" width="12" style="72" bestFit="1" customWidth="1"/>
    <col min="7" max="14" width="12.85546875" style="72" bestFit="1" customWidth="1"/>
    <col min="15" max="15" width="14" style="72" bestFit="1" customWidth="1"/>
    <col min="16" max="16" width="13.7109375" style="72" customWidth="1"/>
    <col min="17" max="17" width="14" style="72" bestFit="1" customWidth="1"/>
    <col min="18" max="16384" width="9.140625" style="72"/>
  </cols>
  <sheetData>
    <row r="1" spans="1:29">
      <c r="P1" s="72" t="str">
        <f>A!D1</f>
        <v>Docket No. RP16-299-000</v>
      </c>
    </row>
    <row r="2" spans="1:29">
      <c r="P2" s="72" t="s">
        <v>272</v>
      </c>
    </row>
    <row r="4" spans="1:29">
      <c r="A4" s="945" t="str">
        <f>'Sched H-1 (2)(i)'!A4:F4</f>
        <v>Tuscarora Gas Transmission Company</v>
      </c>
      <c r="B4" s="946"/>
      <c r="C4" s="946"/>
      <c r="D4" s="946"/>
      <c r="E4" s="946"/>
      <c r="F4" s="946"/>
      <c r="G4" s="946"/>
      <c r="H4" s="946"/>
      <c r="I4" s="946"/>
      <c r="J4" s="946"/>
      <c r="K4" s="946"/>
      <c r="L4" s="946"/>
      <c r="M4" s="946"/>
      <c r="N4" s="946"/>
      <c r="O4" s="946"/>
      <c r="P4" s="946"/>
      <c r="Q4" s="946"/>
    </row>
    <row r="5" spans="1:29">
      <c r="A5" s="946" t="s">
        <v>688</v>
      </c>
      <c r="B5" s="946"/>
      <c r="C5" s="946"/>
      <c r="D5" s="946"/>
      <c r="E5" s="946"/>
      <c r="F5" s="946"/>
      <c r="G5" s="946"/>
      <c r="H5" s="946"/>
      <c r="I5" s="946"/>
      <c r="J5" s="946"/>
      <c r="K5" s="946"/>
      <c r="L5" s="946"/>
      <c r="M5" s="946"/>
      <c r="N5" s="946"/>
      <c r="O5" s="946"/>
      <c r="P5" s="946"/>
      <c r="Q5" s="946"/>
    </row>
    <row r="6" spans="1:29">
      <c r="A6" s="945" t="str">
        <f>'Title Input and Macros'!B9</f>
        <v>For the Twelve Months Ended December 31, 2015, As Adjusted</v>
      </c>
      <c r="B6" s="945"/>
      <c r="C6" s="945"/>
      <c r="D6" s="945"/>
      <c r="E6" s="945"/>
      <c r="F6" s="945"/>
      <c r="G6" s="945"/>
      <c r="H6" s="945"/>
      <c r="I6" s="945"/>
      <c r="J6" s="945"/>
      <c r="K6" s="945"/>
      <c r="L6" s="945"/>
      <c r="M6" s="945"/>
      <c r="N6" s="945"/>
      <c r="O6" s="945"/>
      <c r="P6" s="945"/>
      <c r="Q6" s="945"/>
    </row>
    <row r="7" spans="1:29">
      <c r="A7" s="945"/>
      <c r="B7" s="945"/>
      <c r="C7" s="945"/>
      <c r="D7" s="945"/>
      <c r="F7" s="132"/>
    </row>
    <row r="8" spans="1:29" s="132" customFormat="1"/>
    <row r="9" spans="1:29">
      <c r="A9" s="132" t="s">
        <v>352</v>
      </c>
      <c r="B9" s="132"/>
      <c r="C9" s="132"/>
      <c r="D9" s="132"/>
      <c r="E9" s="132"/>
      <c r="F9" s="132"/>
      <c r="G9" s="132"/>
      <c r="H9" s="132"/>
      <c r="I9" s="132"/>
      <c r="J9" s="132"/>
      <c r="K9" s="132"/>
      <c r="L9" s="132"/>
      <c r="M9" s="132"/>
      <c r="N9" s="132"/>
      <c r="O9" s="132"/>
      <c r="P9" s="2"/>
      <c r="Q9" s="132" t="s">
        <v>326</v>
      </c>
    </row>
    <row r="10" spans="1:29">
      <c r="A10" s="149" t="s">
        <v>353</v>
      </c>
      <c r="B10" s="149" t="s">
        <v>354</v>
      </c>
      <c r="C10" s="149" t="str">
        <f>'Title Input and Macros'!B16</f>
        <v>January</v>
      </c>
      <c r="D10" s="149" t="str">
        <f>'Title Input and Macros'!B17</f>
        <v>February</v>
      </c>
      <c r="E10" s="149" t="str">
        <f>'Title Input and Macros'!B18</f>
        <v>March</v>
      </c>
      <c r="F10" s="149" t="str">
        <f>'Title Input and Macros'!B19</f>
        <v>April</v>
      </c>
      <c r="G10" s="149" t="str">
        <f>'Title Input and Macros'!$B$20</f>
        <v>May</v>
      </c>
      <c r="H10" s="149" t="str">
        <f>'Title Input and Macros'!$B$21</f>
        <v>June</v>
      </c>
      <c r="I10" s="149" t="str">
        <f>'Title Input and Macros'!$B$22</f>
        <v>July</v>
      </c>
      <c r="J10" s="149" t="str">
        <f>'Title Input and Macros'!$B$23</f>
        <v>August</v>
      </c>
      <c r="K10" s="149" t="str">
        <f>'Title Input and Macros'!$B$24</f>
        <v>September</v>
      </c>
      <c r="L10" s="149" t="str">
        <f>'Title Input and Macros'!$B$25</f>
        <v>October</v>
      </c>
      <c r="M10" s="149" t="str">
        <f>'Title Input and Macros'!$B$26</f>
        <v>November</v>
      </c>
      <c r="N10" s="149" t="str">
        <f>'Title Input and Macros'!$B$27</f>
        <v>December</v>
      </c>
      <c r="O10" s="149" t="s">
        <v>38</v>
      </c>
      <c r="P10" s="149" t="s">
        <v>401</v>
      </c>
      <c r="Q10" s="149" t="s">
        <v>402</v>
      </c>
    </row>
    <row r="11" spans="1:29">
      <c r="B11" s="132" t="s">
        <v>361</v>
      </c>
      <c r="C11" s="132" t="s">
        <v>362</v>
      </c>
      <c r="D11" s="132" t="s">
        <v>366</v>
      </c>
      <c r="E11" s="132" t="s">
        <v>363</v>
      </c>
      <c r="F11" s="132" t="s">
        <v>364</v>
      </c>
      <c r="G11" s="132" t="s">
        <v>379</v>
      </c>
      <c r="H11" s="132" t="s">
        <v>380</v>
      </c>
      <c r="I11" s="132" t="s">
        <v>403</v>
      </c>
      <c r="J11" s="132" t="s">
        <v>404</v>
      </c>
      <c r="K11" s="132" t="s">
        <v>351</v>
      </c>
      <c r="L11" s="132" t="s">
        <v>250</v>
      </c>
      <c r="M11" s="132" t="s">
        <v>254</v>
      </c>
      <c r="N11" s="132" t="s">
        <v>313</v>
      </c>
      <c r="O11" s="132" t="s">
        <v>314</v>
      </c>
      <c r="P11" s="132" t="s">
        <v>315</v>
      </c>
      <c r="Q11" s="132" t="s">
        <v>316</v>
      </c>
      <c r="R11" s="132"/>
    </row>
    <row r="12" spans="1:29">
      <c r="C12" s="132" t="s">
        <v>365</v>
      </c>
      <c r="D12" s="132" t="s">
        <v>365</v>
      </c>
      <c r="E12" s="132" t="s">
        <v>365</v>
      </c>
      <c r="F12" s="132" t="s">
        <v>365</v>
      </c>
      <c r="G12" s="132" t="s">
        <v>365</v>
      </c>
      <c r="H12" s="132" t="s">
        <v>365</v>
      </c>
      <c r="I12" s="132" t="s">
        <v>365</v>
      </c>
      <c r="J12" s="132" t="s">
        <v>365</v>
      </c>
      <c r="K12" s="132" t="s">
        <v>365</v>
      </c>
      <c r="L12" s="132" t="s">
        <v>365</v>
      </c>
      <c r="M12" s="132" t="s">
        <v>365</v>
      </c>
      <c r="N12" s="132" t="s">
        <v>365</v>
      </c>
      <c r="O12" s="132" t="s">
        <v>365</v>
      </c>
      <c r="P12" s="132" t="s">
        <v>365</v>
      </c>
      <c r="Q12" s="132" t="s">
        <v>365</v>
      </c>
    </row>
    <row r="13" spans="1:29">
      <c r="A13" s="188">
        <v>1</v>
      </c>
      <c r="B13" s="532" t="s">
        <v>799</v>
      </c>
      <c r="C13" s="540">
        <v>66639.220000000016</v>
      </c>
      <c r="D13" s="540">
        <v>66443.810000000012</v>
      </c>
      <c r="E13" s="540">
        <v>49725.569999999971</v>
      </c>
      <c r="F13" s="540">
        <v>73552.160000000047</v>
      </c>
      <c r="G13" s="540">
        <v>86495.980000000069</v>
      </c>
      <c r="H13" s="540">
        <v>77753.569999999934</v>
      </c>
      <c r="I13" s="540">
        <v>69372.169999999984</v>
      </c>
      <c r="J13" s="540">
        <v>61186.679999999913</v>
      </c>
      <c r="K13" s="540">
        <v>55374.180000000044</v>
      </c>
      <c r="L13" s="540">
        <v>61936.600000000006</v>
      </c>
      <c r="M13" s="540">
        <v>103461.16999999993</v>
      </c>
      <c r="N13" s="540">
        <v>81194.049999999901</v>
      </c>
      <c r="O13" s="326">
        <f>SUM(C13:N13)</f>
        <v>853135.1599999998</v>
      </c>
      <c r="P13" s="326">
        <f>10509.8961-6.94</f>
        <v>10502.956099999999</v>
      </c>
      <c r="Q13" s="327">
        <f>+O13+P13</f>
        <v>863638.11609999975</v>
      </c>
      <c r="R13" s="254"/>
      <c r="S13" s="254"/>
      <c r="T13" s="254"/>
      <c r="U13" s="254"/>
      <c r="V13" s="254"/>
      <c r="W13" s="254"/>
      <c r="X13" s="254"/>
      <c r="Y13" s="254"/>
      <c r="Z13" s="254"/>
      <c r="AA13" s="254"/>
      <c r="AB13" s="254"/>
      <c r="AC13" s="254"/>
    </row>
    <row r="14" spans="1:29">
      <c r="A14" s="188">
        <v>2</v>
      </c>
      <c r="B14" s="532" t="s">
        <v>800</v>
      </c>
      <c r="C14" s="540">
        <v>6861.98</v>
      </c>
      <c r="D14" s="540">
        <v>164.18000000000234</v>
      </c>
      <c r="E14" s="540">
        <v>-45737.469999999994</v>
      </c>
      <c r="F14" s="540">
        <v>3569.9599999999973</v>
      </c>
      <c r="G14" s="540">
        <v>14211.499999999996</v>
      </c>
      <c r="H14" s="540">
        <v>7952.91</v>
      </c>
      <c r="I14" s="540">
        <v>19677.190000000002</v>
      </c>
      <c r="J14" s="540">
        <v>-14942.44</v>
      </c>
      <c r="K14" s="540">
        <v>2965.1899999999941</v>
      </c>
      <c r="L14" s="540">
        <v>9820.5500000000047</v>
      </c>
      <c r="M14" s="540">
        <v>90081.549999999988</v>
      </c>
      <c r="N14" s="540">
        <v>-26346.610000000008</v>
      </c>
      <c r="O14" s="326">
        <f>SUM(C14:N14)</f>
        <v>68278.489999999991</v>
      </c>
      <c r="P14" s="326">
        <v>-663.44489999999996</v>
      </c>
      <c r="Q14" s="327">
        <f>+O14+P14</f>
        <v>67615.045099999988</v>
      </c>
      <c r="R14" s="254"/>
      <c r="S14" s="254"/>
      <c r="T14" s="254"/>
      <c r="U14" s="254"/>
      <c r="V14" s="254"/>
      <c r="W14" s="254"/>
      <c r="X14" s="254"/>
      <c r="Y14" s="254"/>
      <c r="Z14" s="254"/>
      <c r="AA14" s="254"/>
      <c r="AB14" s="254"/>
      <c r="AC14" s="254"/>
    </row>
    <row r="15" spans="1:29">
      <c r="A15" s="188">
        <v>3</v>
      </c>
      <c r="B15" s="532" t="s">
        <v>801</v>
      </c>
      <c r="C15" s="540">
        <v>183935.96999999997</v>
      </c>
      <c r="D15" s="540">
        <v>176609.95</v>
      </c>
      <c r="E15" s="540">
        <v>185428.46999999997</v>
      </c>
      <c r="F15" s="540">
        <v>183529.44000000003</v>
      </c>
      <c r="G15" s="540">
        <v>277847.31</v>
      </c>
      <c r="H15" s="540">
        <v>158828.97000000003</v>
      </c>
      <c r="I15" s="540">
        <v>191795.05999999997</v>
      </c>
      <c r="J15" s="540">
        <v>184700.11999999991</v>
      </c>
      <c r="K15" s="540">
        <v>189444.2300000001</v>
      </c>
      <c r="L15" s="540">
        <v>202246.01000000004</v>
      </c>
      <c r="M15" s="540">
        <v>168835.05000000002</v>
      </c>
      <c r="N15" s="540">
        <v>212006.66000000003</v>
      </c>
      <c r="O15" s="326">
        <f>SUM(C15:N15)</f>
        <v>2315207.2400000002</v>
      </c>
      <c r="P15" s="590">
        <f>49285.8576-51.6+'H-1 ADJ'!F39</f>
        <v>188634.37093900001</v>
      </c>
      <c r="Q15" s="327">
        <f>+O15+P15</f>
        <v>2503841.6109390003</v>
      </c>
      <c r="R15" s="254"/>
      <c r="S15" s="254"/>
      <c r="T15" s="254"/>
      <c r="U15" s="254"/>
      <c r="V15" s="254"/>
      <c r="W15" s="254"/>
      <c r="X15" s="254"/>
      <c r="Y15" s="254"/>
      <c r="Z15" s="254"/>
      <c r="AA15" s="254"/>
      <c r="AB15" s="254"/>
      <c r="AC15" s="254"/>
    </row>
    <row r="16" spans="1:29" ht="13.5" thickBot="1">
      <c r="A16" s="188">
        <v>4</v>
      </c>
      <c r="B16" s="236" t="s">
        <v>554</v>
      </c>
      <c r="C16" s="328">
        <f t="shared" ref="C16:Q16" si="0">SUM(C13:C15)</f>
        <v>257437.16999999998</v>
      </c>
      <c r="D16" s="328">
        <f t="shared" si="0"/>
        <v>243217.94000000003</v>
      </c>
      <c r="E16" s="328">
        <f t="shared" si="0"/>
        <v>189416.56999999995</v>
      </c>
      <c r="F16" s="328">
        <f t="shared" si="0"/>
        <v>260651.56000000006</v>
      </c>
      <c r="G16" s="328">
        <f t="shared" si="0"/>
        <v>378554.79000000004</v>
      </c>
      <c r="H16" s="328">
        <f t="shared" si="0"/>
        <v>244535.44999999995</v>
      </c>
      <c r="I16" s="328">
        <f t="shared" si="0"/>
        <v>280844.41999999993</v>
      </c>
      <c r="J16" s="328">
        <f t="shared" si="0"/>
        <v>230944.35999999981</v>
      </c>
      <c r="K16" s="328">
        <f t="shared" si="0"/>
        <v>247783.60000000015</v>
      </c>
      <c r="L16" s="328">
        <f t="shared" si="0"/>
        <v>274003.16000000003</v>
      </c>
      <c r="M16" s="328">
        <f t="shared" si="0"/>
        <v>362377.7699999999</v>
      </c>
      <c r="N16" s="328">
        <f t="shared" si="0"/>
        <v>266854.09999999992</v>
      </c>
      <c r="O16" s="328">
        <f t="shared" si="0"/>
        <v>3236620.89</v>
      </c>
      <c r="P16" s="328">
        <f t="shared" si="0"/>
        <v>198473.88213900002</v>
      </c>
      <c r="Q16" s="328">
        <f t="shared" si="0"/>
        <v>3435094.7721389998</v>
      </c>
      <c r="R16" s="254"/>
      <c r="S16" s="254"/>
      <c r="T16" s="254"/>
      <c r="U16" s="254"/>
      <c r="V16" s="254"/>
      <c r="W16" s="254"/>
      <c r="X16" s="254"/>
      <c r="Y16" s="254"/>
      <c r="Z16" s="254"/>
      <c r="AA16" s="254"/>
      <c r="AB16" s="254"/>
      <c r="AC16" s="254"/>
    </row>
    <row r="17" spans="2:29" s="201" customFormat="1" ht="13.5" thickTop="1">
      <c r="C17" s="255"/>
      <c r="D17" s="255"/>
      <c r="E17" s="255"/>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row>
    <row r="18" spans="2: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row>
    <row r="19" spans="2:29">
      <c r="B19" s="208" t="s">
        <v>1069</v>
      </c>
      <c r="C19" s="536"/>
      <c r="D19" s="536"/>
      <c r="E19" s="536"/>
      <c r="F19" s="536"/>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row>
    <row r="20" spans="2:29">
      <c r="B20" s="208"/>
      <c r="C20" s="536"/>
      <c r="D20" s="536"/>
      <c r="E20" s="536"/>
      <c r="F20" s="536"/>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row>
    <row r="21" spans="2:29">
      <c r="B21" s="537" t="s">
        <v>786</v>
      </c>
      <c r="C21" s="537"/>
      <c r="D21" s="537"/>
      <c r="E21" s="537"/>
      <c r="F21" s="537"/>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row>
    <row r="22" spans="2:29">
      <c r="B22" s="538" t="s">
        <v>787</v>
      </c>
      <c r="C22" s="301"/>
      <c r="D22" s="301"/>
      <c r="E22" s="301"/>
      <c r="F22" s="301"/>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row>
    <row r="23" spans="2:29">
      <c r="B23" s="538" t="s">
        <v>788</v>
      </c>
      <c r="C23" s="301"/>
      <c r="D23" s="301"/>
      <c r="E23" s="301"/>
      <c r="F23" s="301"/>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row>
    <row r="24" spans="2:29">
      <c r="B24" s="538" t="s">
        <v>789</v>
      </c>
      <c r="C24" s="301"/>
      <c r="D24" s="301"/>
      <c r="E24" s="301"/>
      <c r="F24" s="301"/>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row>
    <row r="25" spans="2:29">
      <c r="B25" s="951" t="s">
        <v>790</v>
      </c>
      <c r="C25" s="951"/>
      <c r="D25" s="951"/>
      <c r="E25" s="951"/>
      <c r="F25" s="951"/>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row>
    <row r="26" spans="2:29">
      <c r="B26" s="539" t="s">
        <v>791</v>
      </c>
      <c r="C26" s="301"/>
      <c r="D26" s="301"/>
      <c r="E26" s="301"/>
      <c r="F26" s="301"/>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row>
    <row r="27" spans="2:29">
      <c r="B27" s="539" t="s">
        <v>792</v>
      </c>
      <c r="C27" s="301"/>
      <c r="D27" s="301"/>
      <c r="E27" s="301"/>
      <c r="F27" s="301"/>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row>
    <row r="28" spans="2:29">
      <c r="B28" s="539" t="s">
        <v>793</v>
      </c>
      <c r="C28" s="301"/>
      <c r="D28" s="301"/>
      <c r="E28" s="301"/>
      <c r="F28" s="301"/>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row>
    <row r="29" spans="2:29">
      <c r="B29" s="539" t="s">
        <v>794</v>
      </c>
      <c r="C29" s="301"/>
      <c r="D29" s="301"/>
      <c r="E29" s="301"/>
      <c r="F29" s="301"/>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row>
    <row r="30" spans="2:29">
      <c r="B30" s="539" t="s">
        <v>795</v>
      </c>
      <c r="C30" s="301"/>
      <c r="D30" s="301"/>
      <c r="E30" s="301"/>
      <c r="F30" s="301"/>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row>
    <row r="31" spans="2:29">
      <c r="B31" s="539" t="s">
        <v>796</v>
      </c>
      <c r="C31" s="301"/>
      <c r="D31" s="301"/>
      <c r="E31" s="301"/>
      <c r="F31" s="301"/>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row>
    <row r="32" spans="2:29">
      <c r="B32" s="539" t="s">
        <v>797</v>
      </c>
      <c r="C32" s="301"/>
      <c r="D32" s="301"/>
      <c r="E32" s="301"/>
      <c r="F32" s="301"/>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row>
    <row r="33" spans="2:29">
      <c r="B33" s="539" t="s">
        <v>798</v>
      </c>
      <c r="C33" s="301"/>
      <c r="D33" s="301"/>
      <c r="E33" s="301"/>
      <c r="F33" s="301"/>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row>
    <row r="34" spans="2: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row>
    <row r="35" spans="2: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row>
    <row r="36" spans="2: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row>
    <row r="37" spans="2: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row>
    <row r="38" spans="2: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row>
    <row r="39" spans="2: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row>
    <row r="40" spans="2: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row>
    <row r="41" spans="2: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row>
    <row r="42" spans="2: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row>
    <row r="43" spans="2: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row>
    <row r="44" spans="2: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row>
    <row r="45" spans="2: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row>
    <row r="46" spans="2: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row>
    <row r="47" spans="2: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row>
    <row r="48" spans="2: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row>
    <row r="49" spans="3: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row>
    <row r="50" spans="3: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row>
    <row r="51" spans="3: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row>
    <row r="52" spans="3: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row>
    <row r="53" spans="3: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row>
    <row r="54" spans="3:29">
      <c r="C54" s="129"/>
      <c r="D54" s="129"/>
    </row>
    <row r="55" spans="3:29">
      <c r="C55" s="129"/>
      <c r="D55" s="129"/>
    </row>
    <row r="56" spans="3:29">
      <c r="C56" s="129"/>
      <c r="D56" s="129"/>
    </row>
    <row r="57" spans="3:29">
      <c r="C57" s="129"/>
      <c r="D57" s="129"/>
    </row>
    <row r="58" spans="3:29">
      <c r="C58" s="129"/>
      <c r="D58" s="129"/>
    </row>
    <row r="59" spans="3:29">
      <c r="C59" s="129"/>
      <c r="D59" s="129"/>
    </row>
    <row r="60" spans="3:29">
      <c r="C60" s="129"/>
      <c r="D60" s="129"/>
    </row>
    <row r="61" spans="3:29">
      <c r="C61" s="129"/>
      <c r="D61" s="129"/>
    </row>
    <row r="62" spans="3:29">
      <c r="C62" s="129"/>
      <c r="D62" s="129"/>
    </row>
    <row r="63" spans="3:29">
      <c r="C63" s="129"/>
      <c r="D63" s="129"/>
    </row>
    <row r="64" spans="3:29">
      <c r="C64" s="129"/>
      <c r="D64" s="129"/>
    </row>
    <row r="65" spans="3:4">
      <c r="C65" s="129"/>
      <c r="D65" s="129"/>
    </row>
    <row r="66" spans="3:4">
      <c r="C66" s="129"/>
      <c r="D66" s="129"/>
    </row>
    <row r="67" spans="3:4">
      <c r="C67" s="129"/>
      <c r="D67" s="129"/>
    </row>
    <row r="68" spans="3:4">
      <c r="C68" s="129"/>
      <c r="D68" s="129"/>
    </row>
    <row r="69" spans="3:4">
      <c r="C69" s="129"/>
      <c r="D69" s="129"/>
    </row>
    <row r="70" spans="3:4">
      <c r="C70" s="129"/>
      <c r="D70" s="129"/>
    </row>
    <row r="71" spans="3:4">
      <c r="C71" s="129"/>
      <c r="D71" s="129"/>
    </row>
    <row r="72" spans="3:4">
      <c r="C72" s="129"/>
      <c r="D72" s="129"/>
    </row>
    <row r="73" spans="3:4">
      <c r="C73" s="129"/>
      <c r="D73" s="129"/>
    </row>
    <row r="74" spans="3:4">
      <c r="C74" s="129"/>
      <c r="D74" s="129"/>
    </row>
    <row r="75" spans="3:4">
      <c r="C75" s="129"/>
      <c r="D75" s="129"/>
    </row>
    <row r="76" spans="3:4">
      <c r="C76" s="129"/>
      <c r="D76" s="129"/>
    </row>
    <row r="77" spans="3:4">
      <c r="C77" s="129"/>
      <c r="D77" s="129"/>
    </row>
    <row r="78" spans="3:4">
      <c r="C78" s="129"/>
      <c r="D78" s="129"/>
    </row>
    <row r="79" spans="3:4">
      <c r="C79" s="129"/>
      <c r="D79" s="129"/>
    </row>
    <row r="80" spans="3:4">
      <c r="C80" s="129"/>
      <c r="D80" s="129"/>
    </row>
    <row r="81" spans="3:4">
      <c r="C81" s="129"/>
      <c r="D81" s="129"/>
    </row>
    <row r="82" spans="3:4">
      <c r="C82" s="129"/>
      <c r="D82" s="129"/>
    </row>
    <row r="83" spans="3:4">
      <c r="C83" s="129"/>
      <c r="D83" s="129"/>
    </row>
    <row r="84" spans="3:4">
      <c r="C84" s="129"/>
      <c r="D84" s="129"/>
    </row>
    <row r="85" spans="3:4">
      <c r="C85" s="129"/>
      <c r="D85" s="129"/>
    </row>
    <row r="86" spans="3:4">
      <c r="C86" s="129"/>
      <c r="D86" s="129"/>
    </row>
    <row r="87" spans="3:4">
      <c r="C87" s="129"/>
      <c r="D87" s="129"/>
    </row>
    <row r="88" spans="3:4">
      <c r="C88" s="129"/>
      <c r="D88" s="129"/>
    </row>
    <row r="89" spans="3:4">
      <c r="C89" s="129"/>
      <c r="D89" s="129"/>
    </row>
    <row r="90" spans="3:4">
      <c r="C90" s="129"/>
      <c r="D90" s="129"/>
    </row>
    <row r="91" spans="3:4">
      <c r="C91" s="129"/>
      <c r="D91" s="129"/>
    </row>
    <row r="92" spans="3:4">
      <c r="C92" s="129"/>
      <c r="D92" s="129"/>
    </row>
    <row r="93" spans="3:4">
      <c r="C93" s="129"/>
      <c r="D93" s="129"/>
    </row>
    <row r="94" spans="3:4">
      <c r="C94" s="129"/>
      <c r="D94" s="129"/>
    </row>
    <row r="95" spans="3:4">
      <c r="C95" s="129"/>
      <c r="D95" s="129"/>
    </row>
    <row r="96" spans="3:4">
      <c r="C96" s="129"/>
      <c r="D96" s="129"/>
    </row>
    <row r="97" spans="3:4">
      <c r="C97" s="129"/>
      <c r="D97" s="129"/>
    </row>
    <row r="98" spans="3:4">
      <c r="C98" s="129"/>
      <c r="D98" s="129"/>
    </row>
    <row r="99" spans="3:4">
      <c r="C99" s="129"/>
      <c r="D99" s="129"/>
    </row>
    <row r="100" spans="3:4">
      <c r="C100" s="129"/>
      <c r="D100" s="129"/>
    </row>
    <row r="101" spans="3:4">
      <c r="C101" s="129"/>
      <c r="D101" s="129"/>
    </row>
    <row r="102" spans="3:4">
      <c r="C102" s="129"/>
      <c r="D102" s="129"/>
    </row>
    <row r="103" spans="3:4">
      <c r="C103" s="129"/>
      <c r="D103" s="129"/>
    </row>
    <row r="104" spans="3:4">
      <c r="C104" s="129"/>
      <c r="D104" s="129"/>
    </row>
    <row r="105" spans="3:4">
      <c r="C105" s="129"/>
      <c r="D105" s="129"/>
    </row>
    <row r="106" spans="3:4">
      <c r="C106" s="129"/>
      <c r="D106" s="129"/>
    </row>
    <row r="107" spans="3:4">
      <c r="C107" s="129"/>
      <c r="D107" s="129"/>
    </row>
    <row r="108" spans="3:4">
      <c r="C108" s="129"/>
      <c r="D108" s="129"/>
    </row>
    <row r="109" spans="3:4">
      <c r="C109" s="129"/>
      <c r="D109" s="129"/>
    </row>
    <row r="110" spans="3:4">
      <c r="C110" s="129"/>
      <c r="D110" s="129"/>
    </row>
    <row r="111" spans="3:4">
      <c r="C111" s="129"/>
      <c r="D111" s="129"/>
    </row>
    <row r="112" spans="3:4">
      <c r="C112" s="129"/>
      <c r="D112" s="129"/>
    </row>
    <row r="113" spans="3:4">
      <c r="C113" s="129"/>
      <c r="D113" s="129"/>
    </row>
    <row r="114" spans="3:4">
      <c r="C114" s="129"/>
      <c r="D114" s="129"/>
    </row>
    <row r="115" spans="3:4">
      <c r="C115" s="129"/>
      <c r="D115" s="129"/>
    </row>
    <row r="116" spans="3:4">
      <c r="C116" s="129"/>
      <c r="D116" s="129"/>
    </row>
    <row r="117" spans="3:4">
      <c r="C117" s="129"/>
      <c r="D117" s="129"/>
    </row>
    <row r="118" spans="3:4">
      <c r="C118" s="129"/>
      <c r="D118" s="129"/>
    </row>
    <row r="119" spans="3:4">
      <c r="C119" s="129"/>
      <c r="D119" s="129"/>
    </row>
    <row r="120" spans="3:4">
      <c r="C120" s="129"/>
      <c r="D120" s="129"/>
    </row>
    <row r="121" spans="3:4">
      <c r="C121" s="129"/>
      <c r="D121" s="129"/>
    </row>
    <row r="122" spans="3:4">
      <c r="C122" s="129"/>
      <c r="D122" s="129"/>
    </row>
    <row r="123" spans="3:4">
      <c r="C123" s="129"/>
      <c r="D123" s="129"/>
    </row>
    <row r="124" spans="3:4">
      <c r="C124" s="129"/>
      <c r="D124" s="129"/>
    </row>
    <row r="125" spans="3:4">
      <c r="C125" s="129"/>
      <c r="D125" s="129"/>
    </row>
    <row r="126" spans="3:4">
      <c r="C126" s="129"/>
      <c r="D126" s="129"/>
    </row>
    <row r="127" spans="3:4">
      <c r="C127" s="129"/>
      <c r="D127" s="129"/>
    </row>
    <row r="128" spans="3:4">
      <c r="C128" s="129"/>
      <c r="D128" s="129"/>
    </row>
    <row r="129" spans="3:4">
      <c r="C129" s="129"/>
      <c r="D129" s="129"/>
    </row>
    <row r="130" spans="3:4">
      <c r="C130" s="129"/>
      <c r="D130" s="129"/>
    </row>
    <row r="131" spans="3:4">
      <c r="C131" s="129"/>
      <c r="D131" s="129"/>
    </row>
    <row r="132" spans="3:4">
      <c r="C132" s="129"/>
      <c r="D132" s="129"/>
    </row>
    <row r="133" spans="3:4">
      <c r="C133" s="129"/>
      <c r="D133" s="129"/>
    </row>
    <row r="134" spans="3:4">
      <c r="C134" s="129"/>
      <c r="D134" s="129"/>
    </row>
    <row r="135" spans="3:4">
      <c r="C135" s="129"/>
      <c r="D135" s="129"/>
    </row>
    <row r="136" spans="3:4">
      <c r="C136" s="129"/>
      <c r="D136" s="129"/>
    </row>
    <row r="137" spans="3:4">
      <c r="C137" s="129"/>
      <c r="D137" s="129"/>
    </row>
    <row r="138" spans="3:4">
      <c r="C138" s="129"/>
      <c r="D138" s="129"/>
    </row>
    <row r="139" spans="3:4">
      <c r="C139" s="129"/>
      <c r="D139" s="129"/>
    </row>
    <row r="140" spans="3:4">
      <c r="C140" s="129"/>
      <c r="D140" s="129"/>
    </row>
    <row r="141" spans="3:4">
      <c r="C141" s="129"/>
      <c r="D141" s="129"/>
    </row>
    <row r="142" spans="3:4">
      <c r="C142" s="129"/>
      <c r="D142" s="129"/>
    </row>
    <row r="143" spans="3:4">
      <c r="C143" s="129"/>
      <c r="D143" s="129"/>
    </row>
    <row r="144" spans="3:4">
      <c r="C144" s="129"/>
      <c r="D144" s="129"/>
    </row>
    <row r="145" spans="3:4">
      <c r="C145" s="129"/>
      <c r="D145" s="129"/>
    </row>
    <row r="146" spans="3:4">
      <c r="C146" s="129"/>
      <c r="D146" s="129"/>
    </row>
    <row r="147" spans="3:4">
      <c r="C147" s="129"/>
      <c r="D147" s="129"/>
    </row>
    <row r="148" spans="3:4">
      <c r="C148" s="129"/>
      <c r="D148" s="129"/>
    </row>
    <row r="149" spans="3:4">
      <c r="C149" s="129"/>
      <c r="D149" s="129"/>
    </row>
    <row r="150" spans="3:4">
      <c r="C150" s="129"/>
      <c r="D150" s="129"/>
    </row>
    <row r="151" spans="3:4">
      <c r="C151" s="129"/>
      <c r="D151" s="129"/>
    </row>
    <row r="152" spans="3:4">
      <c r="C152" s="129"/>
      <c r="D152" s="129"/>
    </row>
    <row r="153" spans="3:4">
      <c r="C153" s="129"/>
      <c r="D153" s="129"/>
    </row>
    <row r="154" spans="3:4">
      <c r="C154" s="129"/>
      <c r="D154" s="129"/>
    </row>
    <row r="155" spans="3:4">
      <c r="C155" s="129"/>
      <c r="D155" s="129"/>
    </row>
    <row r="156" spans="3:4">
      <c r="C156" s="129"/>
      <c r="D156" s="129"/>
    </row>
    <row r="157" spans="3:4">
      <c r="C157" s="129"/>
      <c r="D157" s="129"/>
    </row>
    <row r="158" spans="3:4">
      <c r="C158" s="129"/>
      <c r="D158" s="129"/>
    </row>
    <row r="159" spans="3:4">
      <c r="C159" s="129"/>
      <c r="D159" s="129"/>
    </row>
    <row r="160" spans="3:4">
      <c r="C160" s="129"/>
      <c r="D160" s="129"/>
    </row>
    <row r="161" spans="3:4">
      <c r="C161" s="129"/>
      <c r="D161" s="129"/>
    </row>
    <row r="162" spans="3:4">
      <c r="C162" s="129"/>
      <c r="D162" s="129"/>
    </row>
    <row r="163" spans="3:4">
      <c r="C163" s="129"/>
      <c r="D163" s="129"/>
    </row>
    <row r="164" spans="3:4">
      <c r="C164" s="129"/>
      <c r="D164" s="129"/>
    </row>
    <row r="165" spans="3:4">
      <c r="C165" s="129"/>
      <c r="D165" s="129"/>
    </row>
    <row r="166" spans="3:4">
      <c r="C166" s="129"/>
      <c r="D166" s="129"/>
    </row>
    <row r="167" spans="3:4">
      <c r="C167" s="129"/>
      <c r="D167" s="129"/>
    </row>
    <row r="168" spans="3:4">
      <c r="C168" s="129"/>
      <c r="D168" s="129"/>
    </row>
    <row r="169" spans="3:4">
      <c r="C169" s="129"/>
      <c r="D169" s="129"/>
    </row>
    <row r="170" spans="3:4">
      <c r="C170" s="129"/>
      <c r="D170" s="129"/>
    </row>
    <row r="171" spans="3:4">
      <c r="C171" s="129"/>
      <c r="D171" s="129"/>
    </row>
    <row r="172" spans="3:4">
      <c r="C172" s="129"/>
      <c r="D172" s="129"/>
    </row>
    <row r="173" spans="3:4">
      <c r="C173" s="129"/>
      <c r="D173" s="129"/>
    </row>
    <row r="174" spans="3:4">
      <c r="C174" s="129"/>
      <c r="D174" s="129"/>
    </row>
    <row r="175" spans="3:4">
      <c r="C175" s="129"/>
      <c r="D175" s="129"/>
    </row>
    <row r="176" spans="3:4">
      <c r="C176" s="129"/>
      <c r="D176" s="129"/>
    </row>
    <row r="177" spans="3:4">
      <c r="C177" s="129"/>
      <c r="D177" s="129"/>
    </row>
    <row r="178" spans="3:4">
      <c r="C178" s="129"/>
      <c r="D178" s="129"/>
    </row>
    <row r="179" spans="3:4">
      <c r="C179" s="129"/>
      <c r="D179" s="129"/>
    </row>
    <row r="180" spans="3:4">
      <c r="C180" s="129"/>
      <c r="D180" s="129"/>
    </row>
    <row r="181" spans="3:4">
      <c r="C181" s="129"/>
      <c r="D181" s="129"/>
    </row>
    <row r="182" spans="3:4">
      <c r="C182" s="129"/>
      <c r="D182" s="129"/>
    </row>
    <row r="183" spans="3:4">
      <c r="C183" s="129"/>
      <c r="D183" s="129"/>
    </row>
    <row r="184" spans="3:4">
      <c r="C184" s="129"/>
      <c r="D184" s="129"/>
    </row>
    <row r="185" spans="3:4">
      <c r="C185" s="129"/>
      <c r="D185" s="129"/>
    </row>
    <row r="186" spans="3:4">
      <c r="C186" s="129"/>
      <c r="D186" s="129"/>
    </row>
    <row r="187" spans="3:4">
      <c r="C187" s="129"/>
      <c r="D187" s="129"/>
    </row>
    <row r="188" spans="3:4">
      <c r="C188" s="129"/>
      <c r="D188" s="129"/>
    </row>
    <row r="189" spans="3:4">
      <c r="C189" s="129"/>
      <c r="D189" s="129"/>
    </row>
    <row r="190" spans="3:4">
      <c r="C190" s="129"/>
      <c r="D190" s="129"/>
    </row>
    <row r="191" spans="3:4">
      <c r="C191" s="129"/>
      <c r="D191" s="129"/>
    </row>
    <row r="192" spans="3:4">
      <c r="C192" s="129"/>
      <c r="D192" s="129"/>
    </row>
    <row r="193" spans="3:4">
      <c r="C193" s="129"/>
      <c r="D193" s="129"/>
    </row>
    <row r="194" spans="3:4">
      <c r="C194" s="129"/>
      <c r="D194" s="129"/>
    </row>
    <row r="195" spans="3:4">
      <c r="C195" s="129"/>
      <c r="D195" s="129"/>
    </row>
    <row r="196" spans="3:4">
      <c r="C196" s="129"/>
      <c r="D196" s="129"/>
    </row>
    <row r="197" spans="3:4">
      <c r="C197" s="129"/>
      <c r="D197" s="129"/>
    </row>
    <row r="198" spans="3:4">
      <c r="C198" s="129"/>
      <c r="D198" s="129"/>
    </row>
    <row r="199" spans="3:4">
      <c r="C199" s="129"/>
      <c r="D199" s="129"/>
    </row>
    <row r="200" spans="3:4">
      <c r="C200" s="129"/>
      <c r="D200" s="129"/>
    </row>
    <row r="201" spans="3:4">
      <c r="C201" s="129"/>
      <c r="D201" s="129"/>
    </row>
    <row r="202" spans="3:4">
      <c r="C202" s="129"/>
      <c r="D202" s="129"/>
    </row>
    <row r="203" spans="3:4">
      <c r="C203" s="129"/>
      <c r="D203" s="129"/>
    </row>
    <row r="204" spans="3:4">
      <c r="C204" s="129"/>
      <c r="D204" s="129"/>
    </row>
    <row r="205" spans="3:4">
      <c r="C205" s="129"/>
      <c r="D205" s="129"/>
    </row>
    <row r="206" spans="3:4">
      <c r="C206" s="129"/>
      <c r="D206" s="129"/>
    </row>
    <row r="207" spans="3:4">
      <c r="C207" s="129"/>
      <c r="D207" s="129"/>
    </row>
    <row r="208" spans="3:4">
      <c r="C208" s="129"/>
      <c r="D208" s="129"/>
    </row>
    <row r="209" spans="3:4">
      <c r="C209" s="129"/>
      <c r="D209" s="129"/>
    </row>
    <row r="210" spans="3:4">
      <c r="C210" s="129"/>
      <c r="D210" s="129"/>
    </row>
    <row r="211" spans="3:4">
      <c r="C211" s="129"/>
      <c r="D211" s="129"/>
    </row>
    <row r="212" spans="3:4">
      <c r="C212" s="129"/>
      <c r="D212" s="129"/>
    </row>
    <row r="213" spans="3:4">
      <c r="C213" s="129"/>
      <c r="D213" s="129"/>
    </row>
    <row r="214" spans="3:4">
      <c r="C214" s="129"/>
      <c r="D214" s="129"/>
    </row>
    <row r="215" spans="3:4">
      <c r="C215" s="129"/>
      <c r="D215" s="129"/>
    </row>
    <row r="216" spans="3:4">
      <c r="C216" s="129"/>
      <c r="D216" s="129"/>
    </row>
    <row r="217" spans="3:4">
      <c r="C217" s="129"/>
      <c r="D217" s="129"/>
    </row>
    <row r="218" spans="3:4">
      <c r="C218" s="129"/>
      <c r="D218" s="129"/>
    </row>
    <row r="219" spans="3:4">
      <c r="C219" s="129"/>
      <c r="D219" s="129"/>
    </row>
    <row r="220" spans="3:4">
      <c r="C220" s="129"/>
      <c r="D220" s="129"/>
    </row>
    <row r="221" spans="3:4">
      <c r="C221" s="129"/>
      <c r="D221" s="129"/>
    </row>
    <row r="222" spans="3:4">
      <c r="C222" s="129"/>
      <c r="D222" s="129"/>
    </row>
    <row r="223" spans="3:4">
      <c r="C223" s="129"/>
      <c r="D223" s="129"/>
    </row>
    <row r="224" spans="3:4">
      <c r="C224" s="129"/>
      <c r="D224" s="129"/>
    </row>
    <row r="225" spans="3:4">
      <c r="C225" s="129"/>
      <c r="D225" s="129"/>
    </row>
    <row r="226" spans="3:4">
      <c r="C226" s="129"/>
      <c r="D226" s="129"/>
    </row>
    <row r="227" spans="3:4">
      <c r="C227" s="129"/>
      <c r="D227" s="129"/>
    </row>
    <row r="228" spans="3:4">
      <c r="C228" s="129"/>
      <c r="D228" s="129"/>
    </row>
    <row r="229" spans="3:4">
      <c r="C229" s="129"/>
      <c r="D229" s="129"/>
    </row>
    <row r="230" spans="3:4">
      <c r="C230" s="129"/>
      <c r="D230" s="129"/>
    </row>
    <row r="231" spans="3:4">
      <c r="C231" s="129"/>
      <c r="D231" s="129"/>
    </row>
    <row r="232" spans="3:4">
      <c r="C232" s="129"/>
      <c r="D232" s="129"/>
    </row>
    <row r="233" spans="3:4">
      <c r="C233" s="129"/>
      <c r="D233" s="129"/>
    </row>
    <row r="234" spans="3:4">
      <c r="C234" s="129"/>
      <c r="D234" s="129"/>
    </row>
    <row r="235" spans="3:4">
      <c r="C235" s="129"/>
      <c r="D235" s="129"/>
    </row>
    <row r="236" spans="3:4">
      <c r="C236" s="129"/>
      <c r="D236" s="129"/>
    </row>
    <row r="237" spans="3:4">
      <c r="C237" s="129"/>
      <c r="D237" s="129"/>
    </row>
    <row r="238" spans="3:4">
      <c r="C238" s="129"/>
      <c r="D238" s="129"/>
    </row>
    <row r="239" spans="3:4">
      <c r="C239" s="129"/>
      <c r="D239" s="129"/>
    </row>
    <row r="240" spans="3:4">
      <c r="C240" s="129"/>
      <c r="D240" s="129"/>
    </row>
    <row r="241" spans="3:4">
      <c r="C241" s="129"/>
      <c r="D241" s="129"/>
    </row>
    <row r="242" spans="3:4">
      <c r="C242" s="129"/>
      <c r="D242" s="129"/>
    </row>
    <row r="243" spans="3:4">
      <c r="C243" s="129"/>
      <c r="D243" s="129"/>
    </row>
    <row r="244" spans="3:4">
      <c r="C244" s="129"/>
      <c r="D244" s="129"/>
    </row>
    <row r="245" spans="3:4">
      <c r="C245" s="129"/>
      <c r="D245" s="129"/>
    </row>
    <row r="246" spans="3:4">
      <c r="C246" s="129"/>
      <c r="D246" s="129"/>
    </row>
    <row r="247" spans="3:4">
      <c r="C247" s="129"/>
      <c r="D247" s="129"/>
    </row>
    <row r="248" spans="3:4">
      <c r="C248" s="129"/>
      <c r="D248" s="129"/>
    </row>
    <row r="249" spans="3:4">
      <c r="C249" s="129"/>
      <c r="D249" s="129"/>
    </row>
    <row r="250" spans="3:4">
      <c r="C250" s="129"/>
      <c r="D250" s="129"/>
    </row>
    <row r="251" spans="3:4">
      <c r="C251" s="129"/>
      <c r="D251" s="129"/>
    </row>
    <row r="252" spans="3:4">
      <c r="C252" s="129"/>
      <c r="D252" s="129"/>
    </row>
    <row r="253" spans="3:4">
      <c r="C253" s="129"/>
      <c r="D253" s="129"/>
    </row>
    <row r="254" spans="3:4">
      <c r="C254" s="129"/>
      <c r="D254" s="129"/>
    </row>
    <row r="255" spans="3:4">
      <c r="C255" s="129"/>
      <c r="D255" s="129"/>
    </row>
    <row r="256" spans="3:4">
      <c r="C256" s="129"/>
      <c r="D256" s="129"/>
    </row>
    <row r="257" spans="3:4">
      <c r="C257" s="129"/>
      <c r="D257" s="129"/>
    </row>
    <row r="258" spans="3:4">
      <c r="C258" s="129"/>
      <c r="D258" s="129"/>
    </row>
    <row r="259" spans="3:4">
      <c r="C259" s="129"/>
      <c r="D259" s="129"/>
    </row>
    <row r="260" spans="3:4">
      <c r="C260" s="129"/>
      <c r="D260" s="129"/>
    </row>
    <row r="261" spans="3:4">
      <c r="C261" s="129"/>
      <c r="D261" s="129"/>
    </row>
    <row r="262" spans="3:4">
      <c r="C262" s="129"/>
      <c r="D262" s="129"/>
    </row>
    <row r="263" spans="3:4">
      <c r="C263" s="129"/>
      <c r="D263" s="129"/>
    </row>
    <row r="264" spans="3:4">
      <c r="C264" s="129"/>
      <c r="D264" s="129"/>
    </row>
    <row r="265" spans="3:4">
      <c r="C265" s="129"/>
      <c r="D265" s="129"/>
    </row>
    <row r="266" spans="3:4">
      <c r="C266" s="129"/>
      <c r="D266" s="129"/>
    </row>
    <row r="267" spans="3:4">
      <c r="C267" s="129"/>
      <c r="D267" s="129"/>
    </row>
    <row r="268" spans="3:4">
      <c r="C268" s="129"/>
      <c r="D268" s="129"/>
    </row>
    <row r="269" spans="3:4">
      <c r="C269" s="129"/>
      <c r="D269" s="129"/>
    </row>
    <row r="270" spans="3:4">
      <c r="C270" s="129"/>
      <c r="D270" s="129"/>
    </row>
    <row r="271" spans="3:4">
      <c r="C271" s="129"/>
      <c r="D271" s="129"/>
    </row>
    <row r="272" spans="3:4">
      <c r="C272" s="129"/>
      <c r="D272" s="129"/>
    </row>
    <row r="273" spans="3:4">
      <c r="C273" s="129"/>
      <c r="D273" s="129"/>
    </row>
    <row r="274" spans="3:4">
      <c r="C274" s="129"/>
      <c r="D274" s="129"/>
    </row>
    <row r="275" spans="3:4">
      <c r="C275" s="129"/>
      <c r="D275" s="129"/>
    </row>
    <row r="276" spans="3:4">
      <c r="C276" s="129"/>
      <c r="D276" s="129"/>
    </row>
    <row r="277" spans="3:4">
      <c r="C277" s="129"/>
      <c r="D277" s="129"/>
    </row>
    <row r="278" spans="3:4">
      <c r="C278" s="129"/>
      <c r="D278" s="129"/>
    </row>
    <row r="279" spans="3:4">
      <c r="C279" s="129"/>
      <c r="D279" s="129"/>
    </row>
    <row r="280" spans="3:4">
      <c r="C280" s="129"/>
      <c r="D280" s="129"/>
    </row>
    <row r="281" spans="3:4">
      <c r="C281" s="129"/>
      <c r="D281" s="129"/>
    </row>
    <row r="282" spans="3:4">
      <c r="C282" s="129"/>
      <c r="D282" s="129"/>
    </row>
    <row r="283" spans="3:4">
      <c r="C283" s="129"/>
      <c r="D283" s="129"/>
    </row>
    <row r="284" spans="3:4">
      <c r="C284" s="129"/>
      <c r="D284" s="129"/>
    </row>
    <row r="285" spans="3:4">
      <c r="C285" s="129"/>
      <c r="D285" s="129"/>
    </row>
    <row r="286" spans="3:4">
      <c r="C286" s="129"/>
      <c r="D286" s="129"/>
    </row>
    <row r="287" spans="3:4">
      <c r="C287" s="129"/>
      <c r="D287" s="129"/>
    </row>
    <row r="288" spans="3:4">
      <c r="C288" s="129"/>
      <c r="D288" s="129"/>
    </row>
    <row r="289" spans="3:4">
      <c r="C289" s="129"/>
      <c r="D289" s="129"/>
    </row>
    <row r="290" spans="3:4">
      <c r="C290" s="129"/>
      <c r="D290" s="129"/>
    </row>
    <row r="291" spans="3:4">
      <c r="C291" s="129"/>
      <c r="D291" s="129"/>
    </row>
    <row r="292" spans="3:4">
      <c r="C292" s="129"/>
      <c r="D292" s="129"/>
    </row>
    <row r="293" spans="3:4">
      <c r="C293" s="129"/>
      <c r="D293" s="129"/>
    </row>
    <row r="294" spans="3:4">
      <c r="C294" s="129"/>
      <c r="D294" s="129"/>
    </row>
    <row r="295" spans="3:4">
      <c r="C295" s="129"/>
      <c r="D295" s="129"/>
    </row>
    <row r="296" spans="3:4">
      <c r="C296" s="129"/>
      <c r="D296" s="129"/>
    </row>
    <row r="297" spans="3:4">
      <c r="C297" s="129"/>
      <c r="D297" s="129"/>
    </row>
    <row r="298" spans="3:4">
      <c r="C298" s="129"/>
      <c r="D298" s="129"/>
    </row>
    <row r="299" spans="3:4">
      <c r="C299" s="129"/>
      <c r="D299" s="129"/>
    </row>
    <row r="300" spans="3:4">
      <c r="C300" s="129"/>
      <c r="D300" s="129"/>
    </row>
    <row r="301" spans="3:4">
      <c r="C301" s="129"/>
      <c r="D301" s="129"/>
    </row>
    <row r="302" spans="3:4">
      <c r="C302" s="129"/>
      <c r="D302" s="129"/>
    </row>
    <row r="303" spans="3:4">
      <c r="C303" s="129"/>
      <c r="D303" s="129"/>
    </row>
    <row r="304" spans="3:4">
      <c r="C304" s="129"/>
      <c r="D304" s="129"/>
    </row>
    <row r="305" spans="3:4">
      <c r="C305" s="129"/>
      <c r="D305" s="129"/>
    </row>
    <row r="306" spans="3:4">
      <c r="C306" s="129"/>
      <c r="D306" s="129"/>
    </row>
    <row r="307" spans="3:4">
      <c r="C307" s="129"/>
      <c r="D307" s="129"/>
    </row>
    <row r="308" spans="3:4">
      <c r="C308" s="129"/>
      <c r="D308" s="129"/>
    </row>
    <row r="309" spans="3:4">
      <c r="C309" s="129"/>
      <c r="D309" s="129"/>
    </row>
    <row r="310" spans="3:4">
      <c r="C310" s="129"/>
      <c r="D310" s="129"/>
    </row>
    <row r="311" spans="3:4">
      <c r="C311" s="129"/>
      <c r="D311" s="129"/>
    </row>
  </sheetData>
  <mergeCells count="5">
    <mergeCell ref="A7:D7"/>
    <mergeCell ref="A4:Q4"/>
    <mergeCell ref="A5:Q5"/>
    <mergeCell ref="A6:Q6"/>
    <mergeCell ref="B25:F25"/>
  </mergeCells>
  <phoneticPr fontId="5" type="noConversion"/>
  <pageMargins left="0.75" right="0.75" top="1" bottom="1" header="0.5" footer="0.5"/>
  <pageSetup scale="4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indexed="17"/>
    <pageSetUpPr fitToPage="1"/>
  </sheetPr>
  <dimension ref="A1:L331"/>
  <sheetViews>
    <sheetView workbookViewId="0">
      <selection activeCell="D13" sqref="D13:D14"/>
    </sheetView>
  </sheetViews>
  <sheetFormatPr defaultRowHeight="12.75"/>
  <cols>
    <col min="1" max="1" width="4.42578125" bestFit="1" customWidth="1"/>
    <col min="2" max="2" width="41.5703125" bestFit="1" customWidth="1"/>
    <col min="3" max="3" width="8.85546875" style="14" customWidth="1"/>
    <col min="4" max="4" width="11.42578125" bestFit="1" customWidth="1"/>
    <col min="5" max="5" width="16.5703125" bestFit="1" customWidth="1"/>
  </cols>
  <sheetData>
    <row r="1" spans="1:12">
      <c r="E1" t="str">
        <f>'Title Input and Macros'!B7</f>
        <v>Docket No. RP16-299-000</v>
      </c>
    </row>
    <row r="2" spans="1:12">
      <c r="E2" t="s">
        <v>284</v>
      </c>
    </row>
    <row r="4" spans="1:12">
      <c r="A4" s="929" t="str">
        <f>'Sched H-1 (2)(j)'!A4:Q4</f>
        <v>Tuscarora Gas Transmission Company</v>
      </c>
      <c r="B4" s="927"/>
      <c r="C4" s="927"/>
      <c r="D4" s="927"/>
      <c r="E4" s="927"/>
    </row>
    <row r="5" spans="1:12">
      <c r="A5" s="927" t="s">
        <v>285</v>
      </c>
      <c r="B5" s="927"/>
      <c r="C5" s="927"/>
      <c r="D5" s="927"/>
      <c r="E5" s="927"/>
    </row>
    <row r="6" spans="1:12">
      <c r="A6" s="929" t="str">
        <f>'Title Input and Macros'!B9</f>
        <v>For the Twelve Months Ended December 31, 2015, As Adjusted</v>
      </c>
      <c r="B6" s="927"/>
      <c r="C6" s="927"/>
      <c r="D6" s="927"/>
      <c r="E6" s="927"/>
    </row>
    <row r="7" spans="1:12">
      <c r="A7" s="929"/>
      <c r="B7" s="929"/>
      <c r="C7" s="929"/>
      <c r="D7" s="929"/>
      <c r="E7" s="929"/>
    </row>
    <row r="8" spans="1:12" s="2" customFormat="1">
      <c r="C8" s="14"/>
    </row>
    <row r="9" spans="1:12">
      <c r="A9" s="2" t="s">
        <v>352</v>
      </c>
      <c r="B9" s="2"/>
      <c r="C9" s="14" t="s">
        <v>310</v>
      </c>
      <c r="D9" s="2"/>
      <c r="E9" s="2" t="s">
        <v>326</v>
      </c>
    </row>
    <row r="10" spans="1:12">
      <c r="A10" s="3" t="s">
        <v>353</v>
      </c>
      <c r="B10" s="3" t="s">
        <v>354</v>
      </c>
      <c r="C10" s="15" t="s">
        <v>411</v>
      </c>
      <c r="D10" s="3" t="s">
        <v>401</v>
      </c>
      <c r="E10" s="3" t="s">
        <v>402</v>
      </c>
    </row>
    <row r="11" spans="1:12">
      <c r="B11" s="2" t="s">
        <v>361</v>
      </c>
      <c r="C11" s="14" t="s">
        <v>362</v>
      </c>
      <c r="D11" s="2" t="s">
        <v>366</v>
      </c>
      <c r="E11" s="2" t="s">
        <v>363</v>
      </c>
    </row>
    <row r="12" spans="1:12">
      <c r="C12" s="14" t="s">
        <v>365</v>
      </c>
      <c r="D12" s="2" t="s">
        <v>365</v>
      </c>
      <c r="E12" s="2" t="s">
        <v>365</v>
      </c>
    </row>
    <row r="13" spans="1:12">
      <c r="A13" s="507">
        <v>1</v>
      </c>
      <c r="B13" s="507" t="s">
        <v>802</v>
      </c>
      <c r="C13" s="35">
        <f>'H-1'!P36</f>
        <v>59112.3</v>
      </c>
      <c r="D13" s="926">
        <v>0</v>
      </c>
      <c r="E13" s="35">
        <f>+C13+D13</f>
        <v>59112.3</v>
      </c>
    </row>
    <row r="14" spans="1:12" ht="13.5" thickBot="1">
      <c r="A14" s="513">
        <f>A13+1</f>
        <v>2</v>
      </c>
      <c r="B14" s="533" t="s">
        <v>132</v>
      </c>
      <c r="C14" s="34">
        <f>SUM(C13:C13)</f>
        <v>59112.3</v>
      </c>
      <c r="D14" s="71">
        <f>SUM(D13:D13)</f>
        <v>0</v>
      </c>
      <c r="E14" s="34">
        <f>SUM(E13:E13)</f>
        <v>59112.3</v>
      </c>
      <c r="F14" s="9"/>
      <c r="G14" s="9"/>
      <c r="H14" s="9"/>
      <c r="I14" s="9"/>
      <c r="J14" s="9"/>
      <c r="K14" s="9"/>
      <c r="L14" s="9"/>
    </row>
    <row r="15" spans="1:12" ht="13.5" thickTop="1"/>
    <row r="37" spans="4:5">
      <c r="D37" s="5"/>
      <c r="E37" s="5"/>
    </row>
    <row r="38" spans="4:5">
      <c r="D38" s="5"/>
      <c r="E38" s="5"/>
    </row>
    <row r="39" spans="4:5">
      <c r="D39" s="5"/>
      <c r="E39" s="5"/>
    </row>
    <row r="40" spans="4:5">
      <c r="D40" s="5"/>
      <c r="E40" s="5"/>
    </row>
    <row r="41" spans="4:5">
      <c r="D41" s="5"/>
      <c r="E41" s="5"/>
    </row>
    <row r="42" spans="4:5">
      <c r="D42" s="5"/>
      <c r="E42" s="5"/>
    </row>
    <row r="43" spans="4:5">
      <c r="D43" s="5"/>
      <c r="E43" s="5"/>
    </row>
    <row r="44" spans="4:5">
      <c r="D44" s="5"/>
      <c r="E44" s="5"/>
    </row>
    <row r="45" spans="4:5">
      <c r="D45" s="5"/>
      <c r="E45" s="5"/>
    </row>
    <row r="46" spans="4:5">
      <c r="D46" s="5"/>
      <c r="E46" s="5"/>
    </row>
    <row r="47" spans="4:5">
      <c r="D47" s="5"/>
      <c r="E47" s="5"/>
    </row>
    <row r="48" spans="4:5">
      <c r="D48" s="5"/>
      <c r="E48" s="5"/>
    </row>
    <row r="49" spans="4:5">
      <c r="D49" s="5"/>
      <c r="E49" s="5"/>
    </row>
    <row r="50" spans="4:5">
      <c r="D50" s="5"/>
      <c r="E50" s="5"/>
    </row>
    <row r="51" spans="4:5">
      <c r="D51" s="5"/>
      <c r="E51" s="5"/>
    </row>
    <row r="52" spans="4:5">
      <c r="D52" s="5"/>
      <c r="E52" s="5"/>
    </row>
    <row r="53" spans="4:5">
      <c r="D53" s="5"/>
      <c r="E53" s="5"/>
    </row>
    <row r="54" spans="4:5">
      <c r="D54" s="5"/>
      <c r="E54" s="5"/>
    </row>
    <row r="55" spans="4:5">
      <c r="D55" s="5"/>
      <c r="E55" s="5"/>
    </row>
    <row r="56" spans="4:5">
      <c r="D56" s="5"/>
      <c r="E56" s="5"/>
    </row>
    <row r="57" spans="4:5">
      <c r="D57" s="5"/>
      <c r="E57" s="5"/>
    </row>
    <row r="58" spans="4:5">
      <c r="D58" s="5"/>
      <c r="E58" s="5"/>
    </row>
    <row r="59" spans="4:5">
      <c r="D59" s="5"/>
      <c r="E59" s="5"/>
    </row>
    <row r="60" spans="4:5">
      <c r="D60" s="5"/>
      <c r="E60" s="5"/>
    </row>
    <row r="61" spans="4:5">
      <c r="D61" s="5"/>
      <c r="E61" s="5"/>
    </row>
    <row r="62" spans="4:5">
      <c r="D62" s="5"/>
      <c r="E62" s="5"/>
    </row>
    <row r="63" spans="4:5">
      <c r="D63" s="5"/>
      <c r="E63" s="5"/>
    </row>
    <row r="64" spans="4:5">
      <c r="D64" s="5"/>
      <c r="E64" s="5"/>
    </row>
    <row r="65" spans="4:5">
      <c r="D65" s="5"/>
      <c r="E65" s="5"/>
    </row>
    <row r="66" spans="4:5">
      <c r="D66" s="5"/>
      <c r="E66" s="5"/>
    </row>
    <row r="67" spans="4:5">
      <c r="D67" s="5"/>
      <c r="E67" s="5"/>
    </row>
    <row r="68" spans="4:5">
      <c r="D68" s="5"/>
      <c r="E68" s="5"/>
    </row>
    <row r="69" spans="4:5">
      <c r="D69" s="5"/>
      <c r="E69" s="5"/>
    </row>
    <row r="70" spans="4:5">
      <c r="D70" s="5"/>
      <c r="E70" s="5"/>
    </row>
    <row r="71" spans="4:5">
      <c r="D71" s="5"/>
      <c r="E71" s="5"/>
    </row>
    <row r="72" spans="4:5">
      <c r="D72" s="5"/>
      <c r="E72" s="5"/>
    </row>
    <row r="73" spans="4:5">
      <c r="D73" s="5"/>
      <c r="E73" s="5"/>
    </row>
    <row r="74" spans="4:5">
      <c r="D74" s="5"/>
      <c r="E74" s="5"/>
    </row>
    <row r="75" spans="4:5">
      <c r="D75" s="5"/>
      <c r="E75" s="5"/>
    </row>
    <row r="76" spans="4:5">
      <c r="D76" s="5"/>
      <c r="E76" s="5"/>
    </row>
    <row r="77" spans="4:5">
      <c r="D77" s="5"/>
      <c r="E77" s="5"/>
    </row>
    <row r="78" spans="4:5">
      <c r="D78" s="5"/>
      <c r="E78" s="5"/>
    </row>
    <row r="79" spans="4:5">
      <c r="D79" s="5"/>
      <c r="E79" s="5"/>
    </row>
    <row r="80" spans="4:5">
      <c r="D80" s="5"/>
      <c r="E80" s="5"/>
    </row>
    <row r="81" spans="4:5">
      <c r="D81" s="5"/>
      <c r="E81" s="5"/>
    </row>
    <row r="82" spans="4:5">
      <c r="D82" s="5"/>
      <c r="E82" s="5"/>
    </row>
    <row r="83" spans="4:5">
      <c r="D83" s="5"/>
      <c r="E83" s="5"/>
    </row>
    <row r="84" spans="4:5">
      <c r="D84" s="5"/>
      <c r="E84" s="5"/>
    </row>
    <row r="85" spans="4:5">
      <c r="D85" s="5"/>
      <c r="E85" s="5"/>
    </row>
    <row r="86" spans="4:5">
      <c r="D86" s="5"/>
      <c r="E86" s="5"/>
    </row>
    <row r="87" spans="4:5">
      <c r="D87" s="5"/>
      <c r="E87" s="5"/>
    </row>
    <row r="88" spans="4:5">
      <c r="D88" s="5"/>
      <c r="E88" s="5"/>
    </row>
    <row r="89" spans="4:5">
      <c r="D89" s="5"/>
      <c r="E89" s="5"/>
    </row>
    <row r="90" spans="4:5">
      <c r="D90" s="5"/>
      <c r="E90" s="5"/>
    </row>
    <row r="91" spans="4:5">
      <c r="D91" s="5"/>
      <c r="E91" s="5"/>
    </row>
    <row r="92" spans="4:5">
      <c r="D92" s="5"/>
      <c r="E92" s="5"/>
    </row>
    <row r="93" spans="4:5">
      <c r="D93" s="5"/>
      <c r="E93" s="5"/>
    </row>
    <row r="94" spans="4:5">
      <c r="D94" s="5"/>
      <c r="E94" s="5"/>
    </row>
    <row r="95" spans="4:5">
      <c r="D95" s="5"/>
      <c r="E95" s="5"/>
    </row>
    <row r="96" spans="4:5">
      <c r="D96" s="5"/>
      <c r="E96" s="5"/>
    </row>
    <row r="97" spans="4:5">
      <c r="D97" s="5"/>
      <c r="E97" s="5"/>
    </row>
    <row r="98" spans="4:5">
      <c r="D98" s="5"/>
      <c r="E98" s="5"/>
    </row>
    <row r="99" spans="4:5">
      <c r="D99" s="5"/>
      <c r="E99" s="5"/>
    </row>
    <row r="100" spans="4:5">
      <c r="D100" s="5"/>
      <c r="E100" s="5"/>
    </row>
    <row r="101" spans="4:5">
      <c r="D101" s="5"/>
      <c r="E101" s="5"/>
    </row>
    <row r="102" spans="4:5">
      <c r="D102" s="5"/>
      <c r="E102" s="5"/>
    </row>
    <row r="103" spans="4:5">
      <c r="D103" s="5"/>
      <c r="E103" s="5"/>
    </row>
    <row r="104" spans="4:5">
      <c r="D104" s="5"/>
      <c r="E104" s="5"/>
    </row>
    <row r="105" spans="4:5">
      <c r="D105" s="5"/>
      <c r="E105" s="5"/>
    </row>
    <row r="106" spans="4:5">
      <c r="D106" s="5"/>
      <c r="E106" s="5"/>
    </row>
    <row r="107" spans="4:5">
      <c r="D107" s="5"/>
      <c r="E107" s="5"/>
    </row>
    <row r="108" spans="4:5">
      <c r="D108" s="5"/>
      <c r="E108" s="5"/>
    </row>
    <row r="109" spans="4:5">
      <c r="D109" s="5"/>
      <c r="E109" s="5"/>
    </row>
    <row r="110" spans="4:5">
      <c r="D110" s="5"/>
      <c r="E110" s="5"/>
    </row>
    <row r="111" spans="4:5">
      <c r="D111" s="5"/>
      <c r="E111" s="5"/>
    </row>
    <row r="112" spans="4:5">
      <c r="D112" s="5"/>
      <c r="E112" s="5"/>
    </row>
    <row r="113" spans="4:5">
      <c r="D113" s="5"/>
      <c r="E113" s="5"/>
    </row>
    <row r="114" spans="4:5">
      <c r="D114" s="5"/>
      <c r="E114" s="5"/>
    </row>
    <row r="115" spans="4:5">
      <c r="D115" s="5"/>
      <c r="E115" s="5"/>
    </row>
    <row r="116" spans="4:5">
      <c r="D116" s="5"/>
      <c r="E116" s="5"/>
    </row>
    <row r="117" spans="4:5">
      <c r="D117" s="5"/>
      <c r="E117" s="5"/>
    </row>
    <row r="118" spans="4:5">
      <c r="D118" s="5"/>
      <c r="E118" s="5"/>
    </row>
    <row r="119" spans="4:5">
      <c r="D119" s="5"/>
      <c r="E119" s="5"/>
    </row>
    <row r="120" spans="4:5">
      <c r="D120" s="5"/>
      <c r="E120" s="5"/>
    </row>
    <row r="121" spans="4:5">
      <c r="D121" s="5"/>
      <c r="E121" s="5"/>
    </row>
    <row r="122" spans="4:5">
      <c r="D122" s="5"/>
      <c r="E122" s="5"/>
    </row>
    <row r="123" spans="4:5">
      <c r="D123" s="5"/>
      <c r="E123" s="5"/>
    </row>
    <row r="124" spans="4:5">
      <c r="D124" s="5"/>
      <c r="E124" s="5"/>
    </row>
    <row r="125" spans="4:5">
      <c r="D125" s="5"/>
      <c r="E125" s="5"/>
    </row>
    <row r="126" spans="4:5">
      <c r="D126" s="5"/>
      <c r="E126" s="5"/>
    </row>
    <row r="127" spans="4:5">
      <c r="D127" s="5"/>
      <c r="E127" s="5"/>
    </row>
    <row r="128" spans="4:5">
      <c r="D128" s="5"/>
      <c r="E128" s="5"/>
    </row>
    <row r="129" spans="4:5">
      <c r="D129" s="5"/>
      <c r="E129" s="5"/>
    </row>
    <row r="130" spans="4:5">
      <c r="D130" s="5"/>
      <c r="E130" s="5"/>
    </row>
    <row r="131" spans="4:5">
      <c r="D131" s="5"/>
      <c r="E131" s="5"/>
    </row>
    <row r="132" spans="4:5">
      <c r="D132" s="5"/>
      <c r="E132" s="5"/>
    </row>
    <row r="133" spans="4:5">
      <c r="D133" s="5"/>
      <c r="E133" s="5"/>
    </row>
    <row r="134" spans="4:5">
      <c r="D134" s="5"/>
      <c r="E134" s="5"/>
    </row>
    <row r="135" spans="4:5">
      <c r="D135" s="5"/>
      <c r="E135" s="5"/>
    </row>
    <row r="136" spans="4:5">
      <c r="D136" s="5"/>
      <c r="E136" s="5"/>
    </row>
    <row r="137" spans="4:5">
      <c r="D137" s="5"/>
      <c r="E137" s="5"/>
    </row>
    <row r="138" spans="4:5">
      <c r="D138" s="5"/>
      <c r="E138" s="5"/>
    </row>
    <row r="139" spans="4:5">
      <c r="D139" s="5"/>
      <c r="E139" s="5"/>
    </row>
    <row r="140" spans="4:5">
      <c r="D140" s="5"/>
      <c r="E140" s="5"/>
    </row>
    <row r="141" spans="4:5">
      <c r="D141" s="5"/>
      <c r="E141" s="5"/>
    </row>
    <row r="142" spans="4:5">
      <c r="D142" s="5"/>
      <c r="E142" s="5"/>
    </row>
    <row r="143" spans="4:5">
      <c r="D143" s="5"/>
      <c r="E143" s="5"/>
    </row>
    <row r="144" spans="4:5">
      <c r="D144" s="5"/>
      <c r="E144" s="5"/>
    </row>
    <row r="145" spans="4:5">
      <c r="D145" s="5"/>
      <c r="E145" s="5"/>
    </row>
    <row r="146" spans="4:5">
      <c r="D146" s="5"/>
      <c r="E146" s="5"/>
    </row>
    <row r="147" spans="4:5">
      <c r="D147" s="5"/>
      <c r="E147" s="5"/>
    </row>
    <row r="148" spans="4:5">
      <c r="D148" s="5"/>
      <c r="E148" s="5"/>
    </row>
    <row r="149" spans="4:5">
      <c r="D149" s="5"/>
      <c r="E149" s="5"/>
    </row>
    <row r="150" spans="4:5">
      <c r="D150" s="5"/>
      <c r="E150" s="5"/>
    </row>
    <row r="151" spans="4:5">
      <c r="D151" s="5"/>
      <c r="E151" s="5"/>
    </row>
    <row r="152" spans="4:5">
      <c r="D152" s="5"/>
      <c r="E152" s="5"/>
    </row>
    <row r="153" spans="4:5">
      <c r="D153" s="5"/>
      <c r="E153" s="5"/>
    </row>
    <row r="154" spans="4:5">
      <c r="D154" s="5"/>
      <c r="E154" s="5"/>
    </row>
    <row r="155" spans="4:5">
      <c r="D155" s="5"/>
      <c r="E155" s="5"/>
    </row>
    <row r="156" spans="4:5">
      <c r="D156" s="5"/>
      <c r="E156" s="5"/>
    </row>
    <row r="157" spans="4:5">
      <c r="D157" s="5"/>
      <c r="E157" s="5"/>
    </row>
    <row r="158" spans="4:5">
      <c r="D158" s="5"/>
      <c r="E158" s="5"/>
    </row>
    <row r="159" spans="4:5">
      <c r="D159" s="5"/>
      <c r="E159" s="5"/>
    </row>
    <row r="160" spans="4:5">
      <c r="D160" s="5"/>
      <c r="E160" s="5"/>
    </row>
    <row r="161" spans="4:5">
      <c r="D161" s="5"/>
      <c r="E161" s="5"/>
    </row>
    <row r="162" spans="4:5">
      <c r="D162" s="5"/>
      <c r="E162" s="5"/>
    </row>
    <row r="163" spans="4:5">
      <c r="D163" s="5"/>
      <c r="E163" s="5"/>
    </row>
    <row r="164" spans="4:5">
      <c r="D164" s="5"/>
      <c r="E164" s="5"/>
    </row>
    <row r="165" spans="4:5">
      <c r="D165" s="5"/>
      <c r="E165" s="5"/>
    </row>
    <row r="166" spans="4:5">
      <c r="D166" s="5"/>
      <c r="E166" s="5"/>
    </row>
    <row r="167" spans="4:5">
      <c r="D167" s="5"/>
      <c r="E167" s="5"/>
    </row>
    <row r="168" spans="4:5">
      <c r="D168" s="5"/>
      <c r="E168" s="5"/>
    </row>
    <row r="169" spans="4:5">
      <c r="D169" s="5"/>
      <c r="E169" s="5"/>
    </row>
    <row r="170" spans="4:5">
      <c r="D170" s="5"/>
      <c r="E170" s="5"/>
    </row>
    <row r="171" spans="4:5">
      <c r="D171" s="5"/>
      <c r="E171" s="5"/>
    </row>
    <row r="172" spans="4:5">
      <c r="D172" s="5"/>
      <c r="E172" s="5"/>
    </row>
    <row r="173" spans="4:5">
      <c r="D173" s="5"/>
      <c r="E173" s="5"/>
    </row>
    <row r="174" spans="4:5">
      <c r="D174" s="5"/>
      <c r="E174" s="5"/>
    </row>
    <row r="175" spans="4:5">
      <c r="D175" s="5"/>
      <c r="E175" s="5"/>
    </row>
    <row r="176" spans="4:5">
      <c r="D176" s="5"/>
      <c r="E176" s="5"/>
    </row>
    <row r="177" spans="4:5">
      <c r="D177" s="5"/>
      <c r="E177" s="5"/>
    </row>
    <row r="178" spans="4:5">
      <c r="D178" s="5"/>
      <c r="E178" s="5"/>
    </row>
    <row r="179" spans="4:5">
      <c r="D179" s="5"/>
      <c r="E179" s="5"/>
    </row>
    <row r="180" spans="4:5">
      <c r="D180" s="5"/>
      <c r="E180" s="5"/>
    </row>
    <row r="181" spans="4:5">
      <c r="D181" s="5"/>
      <c r="E181" s="5"/>
    </row>
    <row r="182" spans="4:5">
      <c r="D182" s="5"/>
      <c r="E182" s="5"/>
    </row>
    <row r="183" spans="4:5">
      <c r="D183" s="5"/>
      <c r="E183" s="5"/>
    </row>
    <row r="184" spans="4:5">
      <c r="D184" s="5"/>
      <c r="E184" s="5"/>
    </row>
    <row r="185" spans="4:5">
      <c r="D185" s="5"/>
      <c r="E185" s="5"/>
    </row>
    <row r="186" spans="4:5">
      <c r="D186" s="5"/>
      <c r="E186" s="5"/>
    </row>
    <row r="187" spans="4:5">
      <c r="D187" s="5"/>
      <c r="E187" s="5"/>
    </row>
    <row r="188" spans="4:5">
      <c r="D188" s="5"/>
      <c r="E188" s="5"/>
    </row>
    <row r="189" spans="4:5">
      <c r="D189" s="5"/>
      <c r="E189" s="5"/>
    </row>
    <row r="190" spans="4:5">
      <c r="D190" s="5"/>
      <c r="E190" s="5"/>
    </row>
    <row r="191" spans="4:5">
      <c r="D191" s="5"/>
      <c r="E191" s="5"/>
    </row>
    <row r="192" spans="4:5">
      <c r="D192" s="5"/>
      <c r="E192" s="5"/>
    </row>
    <row r="193" spans="4:5">
      <c r="D193" s="5"/>
      <c r="E193" s="5"/>
    </row>
    <row r="194" spans="4:5">
      <c r="D194" s="5"/>
      <c r="E194" s="5"/>
    </row>
    <row r="195" spans="4:5">
      <c r="D195" s="5"/>
      <c r="E195" s="5"/>
    </row>
    <row r="196" spans="4:5">
      <c r="D196" s="5"/>
      <c r="E196" s="5"/>
    </row>
    <row r="197" spans="4:5">
      <c r="D197" s="5"/>
      <c r="E197" s="5"/>
    </row>
    <row r="198" spans="4:5">
      <c r="D198" s="5"/>
      <c r="E198" s="5"/>
    </row>
    <row r="199" spans="4:5">
      <c r="D199" s="5"/>
      <c r="E199" s="5"/>
    </row>
    <row r="200" spans="4:5">
      <c r="D200" s="5"/>
      <c r="E200" s="5"/>
    </row>
    <row r="201" spans="4:5">
      <c r="D201" s="5"/>
      <c r="E201" s="5"/>
    </row>
    <row r="202" spans="4:5">
      <c r="D202" s="5"/>
      <c r="E202" s="5"/>
    </row>
    <row r="203" spans="4:5">
      <c r="D203" s="5"/>
      <c r="E203" s="5"/>
    </row>
    <row r="204" spans="4:5">
      <c r="D204" s="5"/>
      <c r="E204" s="5"/>
    </row>
    <row r="205" spans="4:5">
      <c r="D205" s="5"/>
      <c r="E205" s="5"/>
    </row>
    <row r="206" spans="4:5">
      <c r="D206" s="5"/>
      <c r="E206" s="5"/>
    </row>
    <row r="207" spans="4:5">
      <c r="D207" s="5"/>
      <c r="E207" s="5"/>
    </row>
    <row r="208" spans="4:5">
      <c r="D208" s="5"/>
      <c r="E208" s="5"/>
    </row>
    <row r="209" spans="4:5">
      <c r="D209" s="5"/>
      <c r="E209" s="5"/>
    </row>
    <row r="210" spans="4:5">
      <c r="D210" s="5"/>
      <c r="E210" s="5"/>
    </row>
    <row r="211" spans="4:5">
      <c r="D211" s="5"/>
      <c r="E211" s="5"/>
    </row>
    <row r="212" spans="4:5">
      <c r="D212" s="5"/>
      <c r="E212" s="5"/>
    </row>
    <row r="213" spans="4:5">
      <c r="D213" s="5"/>
      <c r="E213" s="5"/>
    </row>
    <row r="214" spans="4:5">
      <c r="D214" s="5"/>
      <c r="E214" s="5"/>
    </row>
    <row r="215" spans="4:5">
      <c r="D215" s="5"/>
      <c r="E215" s="5"/>
    </row>
    <row r="216" spans="4:5">
      <c r="D216" s="5"/>
      <c r="E216" s="5"/>
    </row>
    <row r="217" spans="4:5">
      <c r="D217" s="5"/>
      <c r="E217" s="5"/>
    </row>
    <row r="218" spans="4:5">
      <c r="D218" s="5"/>
      <c r="E218" s="5"/>
    </row>
    <row r="219" spans="4:5">
      <c r="D219" s="5"/>
      <c r="E219" s="5"/>
    </row>
    <row r="220" spans="4:5">
      <c r="D220" s="5"/>
      <c r="E220" s="5"/>
    </row>
    <row r="221" spans="4:5">
      <c r="D221" s="5"/>
      <c r="E221" s="5"/>
    </row>
    <row r="222" spans="4:5">
      <c r="D222" s="5"/>
      <c r="E222" s="5"/>
    </row>
    <row r="223" spans="4:5">
      <c r="D223" s="5"/>
      <c r="E223" s="5"/>
    </row>
    <row r="224" spans="4:5">
      <c r="D224" s="5"/>
      <c r="E224" s="5"/>
    </row>
    <row r="225" spans="4:5">
      <c r="D225" s="5"/>
      <c r="E225" s="5"/>
    </row>
    <row r="226" spans="4:5">
      <c r="D226" s="5"/>
      <c r="E226" s="5"/>
    </row>
    <row r="227" spans="4:5">
      <c r="D227" s="5"/>
      <c r="E227" s="5"/>
    </row>
    <row r="228" spans="4:5">
      <c r="D228" s="5"/>
      <c r="E228" s="5"/>
    </row>
    <row r="229" spans="4:5">
      <c r="D229" s="5"/>
      <c r="E229" s="5"/>
    </row>
    <row r="230" spans="4:5">
      <c r="D230" s="5"/>
      <c r="E230" s="5"/>
    </row>
    <row r="231" spans="4:5">
      <c r="D231" s="5"/>
      <c r="E231" s="5"/>
    </row>
    <row r="232" spans="4:5">
      <c r="D232" s="5"/>
      <c r="E232" s="5"/>
    </row>
    <row r="233" spans="4:5">
      <c r="D233" s="5"/>
      <c r="E233" s="5"/>
    </row>
    <row r="234" spans="4:5">
      <c r="D234" s="5"/>
      <c r="E234" s="5"/>
    </row>
    <row r="235" spans="4:5">
      <c r="D235" s="5"/>
      <c r="E235" s="5"/>
    </row>
    <row r="236" spans="4:5">
      <c r="D236" s="5"/>
      <c r="E236" s="5"/>
    </row>
    <row r="237" spans="4:5">
      <c r="D237" s="5"/>
      <c r="E237" s="5"/>
    </row>
    <row r="238" spans="4:5">
      <c r="D238" s="5"/>
      <c r="E238" s="5"/>
    </row>
    <row r="239" spans="4:5">
      <c r="D239" s="5"/>
      <c r="E239" s="5"/>
    </row>
    <row r="240" spans="4:5">
      <c r="D240" s="5"/>
      <c r="E240" s="5"/>
    </row>
    <row r="241" spans="4:5">
      <c r="D241" s="5"/>
      <c r="E241" s="5"/>
    </row>
    <row r="242" spans="4:5">
      <c r="D242" s="5"/>
      <c r="E242" s="5"/>
    </row>
    <row r="243" spans="4:5">
      <c r="D243" s="5"/>
      <c r="E243" s="5"/>
    </row>
    <row r="244" spans="4:5">
      <c r="D244" s="5"/>
      <c r="E244" s="5"/>
    </row>
    <row r="245" spans="4:5">
      <c r="D245" s="5"/>
      <c r="E245" s="5"/>
    </row>
    <row r="246" spans="4:5">
      <c r="D246" s="5"/>
      <c r="E246" s="5"/>
    </row>
    <row r="247" spans="4:5">
      <c r="D247" s="5"/>
      <c r="E247" s="5"/>
    </row>
    <row r="248" spans="4:5">
      <c r="D248" s="5"/>
      <c r="E248" s="5"/>
    </row>
    <row r="249" spans="4:5">
      <c r="D249" s="5"/>
      <c r="E249" s="5"/>
    </row>
    <row r="250" spans="4:5">
      <c r="D250" s="5"/>
      <c r="E250" s="5"/>
    </row>
    <row r="251" spans="4:5">
      <c r="D251" s="5"/>
      <c r="E251" s="5"/>
    </row>
    <row r="252" spans="4:5">
      <c r="D252" s="5"/>
      <c r="E252" s="5"/>
    </row>
    <row r="253" spans="4:5">
      <c r="D253" s="5"/>
      <c r="E253" s="5"/>
    </row>
    <row r="254" spans="4:5">
      <c r="D254" s="5"/>
      <c r="E254" s="5"/>
    </row>
    <row r="255" spans="4:5">
      <c r="D255" s="5"/>
      <c r="E255" s="5"/>
    </row>
    <row r="256" spans="4:5">
      <c r="D256" s="5"/>
      <c r="E256" s="5"/>
    </row>
    <row r="257" spans="4:5">
      <c r="D257" s="5"/>
      <c r="E257" s="5"/>
    </row>
    <row r="258" spans="4:5">
      <c r="D258" s="5"/>
      <c r="E258" s="5"/>
    </row>
    <row r="259" spans="4:5">
      <c r="D259" s="5"/>
      <c r="E259" s="5"/>
    </row>
    <row r="260" spans="4:5">
      <c r="D260" s="5"/>
      <c r="E260" s="5"/>
    </row>
    <row r="261" spans="4:5">
      <c r="D261" s="5"/>
      <c r="E261" s="5"/>
    </row>
    <row r="262" spans="4:5">
      <c r="D262" s="5"/>
      <c r="E262" s="5"/>
    </row>
    <row r="263" spans="4:5">
      <c r="D263" s="5"/>
      <c r="E263" s="5"/>
    </row>
    <row r="264" spans="4:5">
      <c r="D264" s="5"/>
      <c r="E264" s="5"/>
    </row>
    <row r="265" spans="4:5">
      <c r="D265" s="5"/>
      <c r="E265" s="5"/>
    </row>
    <row r="266" spans="4:5">
      <c r="D266" s="5"/>
      <c r="E266" s="5"/>
    </row>
    <row r="267" spans="4:5">
      <c r="D267" s="5"/>
      <c r="E267" s="5"/>
    </row>
    <row r="268" spans="4:5">
      <c r="D268" s="5"/>
      <c r="E268" s="5"/>
    </row>
    <row r="269" spans="4:5">
      <c r="D269" s="5"/>
      <c r="E269" s="5"/>
    </row>
    <row r="270" spans="4:5">
      <c r="D270" s="5"/>
      <c r="E270" s="5"/>
    </row>
    <row r="271" spans="4:5">
      <c r="D271" s="5"/>
      <c r="E271" s="5"/>
    </row>
    <row r="272" spans="4:5">
      <c r="D272" s="5"/>
      <c r="E272" s="5"/>
    </row>
    <row r="273" spans="4:5">
      <c r="D273" s="5"/>
      <c r="E273" s="5"/>
    </row>
    <row r="274" spans="4:5">
      <c r="D274" s="5"/>
      <c r="E274" s="5"/>
    </row>
    <row r="275" spans="4:5">
      <c r="D275" s="5"/>
      <c r="E275" s="5"/>
    </row>
    <row r="276" spans="4:5">
      <c r="D276" s="5"/>
      <c r="E276" s="5"/>
    </row>
    <row r="277" spans="4:5">
      <c r="D277" s="5"/>
      <c r="E277" s="5"/>
    </row>
    <row r="278" spans="4:5">
      <c r="D278" s="5"/>
      <c r="E278" s="5"/>
    </row>
    <row r="279" spans="4:5">
      <c r="D279" s="5"/>
      <c r="E279" s="5"/>
    </row>
    <row r="280" spans="4:5">
      <c r="D280" s="5"/>
      <c r="E280" s="5"/>
    </row>
    <row r="281" spans="4:5">
      <c r="D281" s="5"/>
      <c r="E281" s="5"/>
    </row>
    <row r="282" spans="4:5">
      <c r="D282" s="5"/>
      <c r="E282" s="5"/>
    </row>
    <row r="283" spans="4:5">
      <c r="D283" s="5"/>
      <c r="E283" s="5"/>
    </row>
    <row r="284" spans="4:5">
      <c r="D284" s="5"/>
      <c r="E284" s="5"/>
    </row>
    <row r="285" spans="4:5">
      <c r="D285" s="5"/>
      <c r="E285" s="5"/>
    </row>
    <row r="286" spans="4:5">
      <c r="D286" s="5"/>
      <c r="E286" s="5"/>
    </row>
    <row r="287" spans="4:5">
      <c r="D287" s="5"/>
      <c r="E287" s="5"/>
    </row>
    <row r="288" spans="4:5">
      <c r="D288" s="5"/>
      <c r="E288" s="5"/>
    </row>
    <row r="289" spans="4:5">
      <c r="D289" s="5"/>
      <c r="E289" s="5"/>
    </row>
    <row r="290" spans="4:5">
      <c r="D290" s="5"/>
      <c r="E290" s="5"/>
    </row>
    <row r="291" spans="4:5">
      <c r="D291" s="5"/>
      <c r="E291" s="5"/>
    </row>
    <row r="292" spans="4:5">
      <c r="D292" s="5"/>
      <c r="E292" s="5"/>
    </row>
    <row r="293" spans="4:5">
      <c r="D293" s="5"/>
      <c r="E293" s="5"/>
    </row>
    <row r="294" spans="4:5">
      <c r="D294" s="5"/>
      <c r="E294" s="5"/>
    </row>
    <row r="295" spans="4:5">
      <c r="D295" s="5"/>
      <c r="E295" s="5"/>
    </row>
    <row r="296" spans="4:5">
      <c r="D296" s="5"/>
      <c r="E296" s="5"/>
    </row>
    <row r="297" spans="4:5">
      <c r="D297" s="5"/>
      <c r="E297" s="5"/>
    </row>
    <row r="298" spans="4:5">
      <c r="D298" s="5"/>
      <c r="E298" s="5"/>
    </row>
    <row r="299" spans="4:5">
      <c r="D299" s="5"/>
      <c r="E299" s="5"/>
    </row>
    <row r="300" spans="4:5">
      <c r="D300" s="5"/>
      <c r="E300" s="5"/>
    </row>
    <row r="301" spans="4:5">
      <c r="D301" s="5"/>
      <c r="E301" s="5"/>
    </row>
    <row r="302" spans="4:5">
      <c r="D302" s="5"/>
      <c r="E302" s="5"/>
    </row>
    <row r="303" spans="4:5">
      <c r="D303" s="5"/>
      <c r="E303" s="5"/>
    </row>
    <row r="304" spans="4:5">
      <c r="D304" s="5"/>
      <c r="E304" s="5"/>
    </row>
    <row r="305" spans="4:5">
      <c r="D305" s="5"/>
      <c r="E305" s="5"/>
    </row>
    <row r="306" spans="4:5">
      <c r="D306" s="5"/>
      <c r="E306" s="5"/>
    </row>
    <row r="307" spans="4:5">
      <c r="D307" s="5"/>
      <c r="E307" s="5"/>
    </row>
    <row r="308" spans="4:5">
      <c r="D308" s="5"/>
      <c r="E308" s="5"/>
    </row>
    <row r="309" spans="4:5">
      <c r="D309" s="5"/>
      <c r="E309" s="5"/>
    </row>
    <row r="310" spans="4:5">
      <c r="D310" s="5"/>
      <c r="E310" s="5"/>
    </row>
    <row r="311" spans="4:5">
      <c r="D311" s="5"/>
      <c r="E311" s="5"/>
    </row>
    <row r="312" spans="4:5">
      <c r="D312" s="5"/>
      <c r="E312" s="5"/>
    </row>
    <row r="313" spans="4:5">
      <c r="D313" s="5"/>
      <c r="E313" s="5"/>
    </row>
    <row r="314" spans="4:5">
      <c r="D314" s="5"/>
      <c r="E314" s="5"/>
    </row>
    <row r="315" spans="4:5">
      <c r="D315" s="5"/>
      <c r="E315" s="5"/>
    </row>
    <row r="316" spans="4:5">
      <c r="D316" s="5"/>
      <c r="E316" s="5"/>
    </row>
    <row r="317" spans="4:5">
      <c r="D317" s="5"/>
      <c r="E317" s="5"/>
    </row>
    <row r="318" spans="4:5">
      <c r="D318" s="5"/>
      <c r="E318" s="5"/>
    </row>
    <row r="319" spans="4:5">
      <c r="D319" s="5"/>
      <c r="E319" s="5"/>
    </row>
    <row r="320" spans="4:5">
      <c r="D320" s="5"/>
      <c r="E320" s="5"/>
    </row>
    <row r="321" spans="4:5">
      <c r="D321" s="5"/>
      <c r="E321" s="5"/>
    </row>
    <row r="322" spans="4:5">
      <c r="D322" s="5"/>
      <c r="E322" s="5"/>
    </row>
    <row r="323" spans="4:5">
      <c r="D323" s="5"/>
      <c r="E323" s="5"/>
    </row>
    <row r="324" spans="4:5">
      <c r="D324" s="5"/>
      <c r="E324" s="5"/>
    </row>
    <row r="325" spans="4:5">
      <c r="D325" s="5"/>
      <c r="E325" s="5"/>
    </row>
    <row r="326" spans="4:5">
      <c r="D326" s="5"/>
      <c r="E326" s="5"/>
    </row>
    <row r="327" spans="4:5">
      <c r="D327" s="5"/>
      <c r="E327" s="5"/>
    </row>
    <row r="328" spans="4:5">
      <c r="D328" s="5"/>
      <c r="E328" s="5"/>
    </row>
    <row r="329" spans="4:5">
      <c r="D329" s="5"/>
      <c r="E329" s="5"/>
    </row>
    <row r="330" spans="4:5">
      <c r="D330" s="5"/>
      <c r="E330" s="5"/>
    </row>
    <row r="331" spans="4:5">
      <c r="D331" s="5"/>
      <c r="E331" s="5"/>
    </row>
  </sheetData>
  <mergeCells count="4">
    <mergeCell ref="A7:E7"/>
    <mergeCell ref="A4:E4"/>
    <mergeCell ref="A5:E5"/>
    <mergeCell ref="A6:E6"/>
  </mergeCells>
  <phoneticPr fontId="5" type="noConversion"/>
  <pageMargins left="0.75" right="0.75" top="1" bottom="1" header="0.5" footer="0.5"/>
  <pageSetup scale="9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indexed="17"/>
    <pageSetUpPr fitToPage="1"/>
  </sheetPr>
  <dimension ref="A1:V327"/>
  <sheetViews>
    <sheetView zoomScale="85" zoomScaleNormal="85" workbookViewId="0">
      <selection activeCell="A4" sqref="A4:I4"/>
    </sheetView>
  </sheetViews>
  <sheetFormatPr defaultRowHeight="12.75"/>
  <cols>
    <col min="1" max="1" width="6.140625" bestFit="1" customWidth="1"/>
    <col min="2" max="2" width="52.5703125" customWidth="1"/>
    <col min="3" max="3" width="20.7109375" customWidth="1"/>
    <col min="4" max="4" width="8.5703125" style="39" customWidth="1"/>
    <col min="5" max="5" width="19.5703125" bestFit="1" customWidth="1"/>
    <col min="6" max="6" width="9" style="72" bestFit="1" customWidth="1"/>
    <col min="7" max="7" width="12.42578125" customWidth="1"/>
    <col min="8" max="8" width="16.42578125" customWidth="1"/>
    <col min="9" max="9" width="16.5703125" bestFit="1" customWidth="1"/>
  </cols>
  <sheetData>
    <row r="1" spans="1:22">
      <c r="F1"/>
      <c r="I1" t="str">
        <f>'[2]A 1 of 3'!E1</f>
        <v>Docket No. RP11-1823-000</v>
      </c>
    </row>
    <row r="2" spans="1:22">
      <c r="C2" s="72"/>
      <c r="D2" s="341"/>
      <c r="E2" s="72"/>
      <c r="F2"/>
      <c r="I2" t="s">
        <v>287</v>
      </c>
    </row>
    <row r="3" spans="1:22">
      <c r="F3"/>
      <c r="I3" t="s">
        <v>1075</v>
      </c>
    </row>
    <row r="4" spans="1:22">
      <c r="A4" s="929" t="str">
        <f>'Sched H-1 (2)(k)'!A4:E4</f>
        <v>Tuscarora Gas Transmission Company</v>
      </c>
      <c r="B4" s="927"/>
      <c r="C4" s="927"/>
      <c r="D4" s="927"/>
      <c r="E4" s="927"/>
      <c r="F4" s="927"/>
      <c r="G4" s="927"/>
      <c r="H4" s="927"/>
      <c r="I4" s="927"/>
    </row>
    <row r="5" spans="1:22">
      <c r="A5" s="927" t="s">
        <v>289</v>
      </c>
      <c r="B5" s="927"/>
      <c r="C5" s="927"/>
      <c r="D5" s="927"/>
      <c r="E5" s="927"/>
      <c r="F5" s="927"/>
      <c r="G5" s="927"/>
      <c r="H5" s="927"/>
      <c r="I5" s="927"/>
    </row>
    <row r="6" spans="1:22">
      <c r="A6" s="929" t="str">
        <f>'Title Input and Macros'!B9</f>
        <v>For the Twelve Months Ended December 31, 2015, As Adjusted</v>
      </c>
      <c r="B6" s="929"/>
      <c r="C6" s="929"/>
      <c r="D6" s="929"/>
      <c r="E6" s="929"/>
      <c r="F6" s="929"/>
      <c r="G6" s="929"/>
      <c r="H6" s="929"/>
      <c r="I6" s="929"/>
    </row>
    <row r="7" spans="1:22">
      <c r="A7" s="929"/>
      <c r="B7" s="929"/>
      <c r="C7" s="929"/>
      <c r="D7" s="929"/>
      <c r="F7" s="2"/>
    </row>
    <row r="8" spans="1:22">
      <c r="A8" s="43"/>
      <c r="B8" s="43"/>
      <c r="C8" s="43"/>
      <c r="D8" s="379"/>
      <c r="F8" s="2"/>
    </row>
    <row r="9" spans="1:22" s="2" customFormat="1">
      <c r="C9" s="2" t="s">
        <v>402</v>
      </c>
      <c r="D9" s="380"/>
      <c r="E9" s="493" t="s">
        <v>382</v>
      </c>
      <c r="F9" s="50"/>
    </row>
    <row r="10" spans="1:22">
      <c r="A10" s="2" t="s">
        <v>352</v>
      </c>
      <c r="B10" s="2"/>
      <c r="C10" s="2" t="s">
        <v>161</v>
      </c>
      <c r="D10" s="379" t="s">
        <v>290</v>
      </c>
      <c r="E10" s="2" t="s">
        <v>38</v>
      </c>
      <c r="F10" s="2" t="s">
        <v>292</v>
      </c>
      <c r="G10" s="2"/>
      <c r="H10" s="492" t="s">
        <v>293</v>
      </c>
      <c r="I10" s="2"/>
      <c r="J10" s="2"/>
    </row>
    <row r="11" spans="1:22">
      <c r="A11" s="3" t="s">
        <v>353</v>
      </c>
      <c r="B11" s="3" t="s">
        <v>354</v>
      </c>
      <c r="C11" s="91">
        <f>'Title Input and Macros'!B14</f>
        <v>42551</v>
      </c>
      <c r="D11" s="379" t="s">
        <v>430</v>
      </c>
      <c r="E11" s="91">
        <f>'Title Input and Macros'!B12</f>
        <v>42369</v>
      </c>
      <c r="F11" s="2" t="s">
        <v>430</v>
      </c>
      <c r="G11" s="2" t="s">
        <v>206</v>
      </c>
      <c r="H11" s="2" t="s">
        <v>402</v>
      </c>
      <c r="I11" s="2"/>
      <c r="J11" s="2"/>
    </row>
    <row r="12" spans="1:22">
      <c r="B12" s="2" t="s">
        <v>361</v>
      </c>
      <c r="C12" s="2" t="s">
        <v>362</v>
      </c>
      <c r="D12" s="379" t="s">
        <v>366</v>
      </c>
      <c r="E12" s="2" t="s">
        <v>363</v>
      </c>
      <c r="F12" s="132" t="s">
        <v>364</v>
      </c>
      <c r="G12" s="2" t="s">
        <v>379</v>
      </c>
      <c r="H12" s="2" t="s">
        <v>380</v>
      </c>
      <c r="I12" s="2"/>
      <c r="J12" s="2"/>
    </row>
    <row r="13" spans="1:22">
      <c r="C13" s="2" t="s">
        <v>365</v>
      </c>
      <c r="D13" s="379" t="s">
        <v>42</v>
      </c>
      <c r="E13" s="2" t="s">
        <v>365</v>
      </c>
      <c r="F13" s="132" t="s">
        <v>42</v>
      </c>
      <c r="G13" s="2" t="s">
        <v>365</v>
      </c>
      <c r="H13" s="2" t="s">
        <v>365</v>
      </c>
      <c r="I13" s="2"/>
      <c r="J13" s="2"/>
    </row>
    <row r="14" spans="1:22">
      <c r="A14" s="73"/>
      <c r="B14" s="118"/>
      <c r="C14" s="46"/>
      <c r="D14" s="381"/>
      <c r="E14" s="46"/>
      <c r="F14" s="382"/>
      <c r="G14" s="46"/>
      <c r="H14" s="46"/>
      <c r="I14" s="35"/>
      <c r="J14" s="35"/>
      <c r="K14" s="35"/>
      <c r="L14" s="35"/>
      <c r="M14" s="35"/>
      <c r="N14" s="35"/>
      <c r="O14" s="35"/>
      <c r="P14" s="35"/>
      <c r="Q14" s="35"/>
      <c r="R14" s="35"/>
      <c r="S14" s="35"/>
      <c r="T14" s="35"/>
      <c r="U14" s="35"/>
      <c r="V14" s="35"/>
    </row>
    <row r="15" spans="1:22">
      <c r="A15" s="104" t="s">
        <v>579</v>
      </c>
      <c r="B15" s="439" t="s">
        <v>832</v>
      </c>
      <c r="C15" s="119"/>
      <c r="D15" s="120"/>
      <c r="E15" s="119"/>
      <c r="F15" s="383"/>
      <c r="G15" s="119"/>
      <c r="H15" s="119"/>
      <c r="I15" s="35"/>
      <c r="J15" s="35"/>
      <c r="K15" s="35"/>
      <c r="L15" s="35"/>
      <c r="M15" s="35"/>
      <c r="N15" s="35"/>
      <c r="O15" s="35"/>
      <c r="P15" s="35"/>
      <c r="Q15" s="35"/>
      <c r="R15" s="35"/>
      <c r="S15" s="35"/>
      <c r="T15" s="35"/>
      <c r="U15" s="35"/>
      <c r="V15" s="35"/>
    </row>
    <row r="16" spans="1:22">
      <c r="A16" s="104"/>
      <c r="B16" s="122" t="s">
        <v>100</v>
      </c>
      <c r="C16" s="119"/>
      <c r="D16" s="120"/>
      <c r="E16" s="119"/>
      <c r="F16" s="383"/>
      <c r="G16" s="119"/>
      <c r="H16" s="119"/>
      <c r="I16" s="35"/>
      <c r="J16" s="35"/>
      <c r="K16" s="35"/>
      <c r="L16" s="35"/>
      <c r="M16" s="35"/>
      <c r="N16" s="35"/>
      <c r="O16" s="35"/>
      <c r="P16" s="35"/>
      <c r="Q16" s="35"/>
      <c r="R16" s="35"/>
      <c r="S16" s="35"/>
      <c r="T16" s="35"/>
      <c r="U16" s="35"/>
      <c r="V16" s="35"/>
    </row>
    <row r="17" spans="1:22">
      <c r="A17" s="104">
        <v>1</v>
      </c>
      <c r="B17" s="384" t="s">
        <v>100</v>
      </c>
      <c r="C17" s="119">
        <f>'Sched C-1'!G21+'Sched C-1'!G22+'Sched C-1'!G23+'Sched C-1'!G24+'Sched C-1'!G28+'Sched C-1'!G29</f>
        <v>166474365.01000002</v>
      </c>
      <c r="D17" s="385">
        <f>'Sched D-1'!D13</f>
        <v>1.2999999999999999E-2</v>
      </c>
      <c r="E17" s="386">
        <f>'H-2 P2'!J16+'H-2 P2'!J17+'H-2 P2'!J18+'H-2 P2'!J19+'H-2 P2'!J22+'H-2 P2'!J23</f>
        <v>2162966.7400000002</v>
      </c>
      <c r="F17" s="387">
        <f>'Sched D-1'!E13</f>
        <v>2.06E-2</v>
      </c>
      <c r="G17" s="388">
        <f>H17-E17</f>
        <v>1266405.1792060002</v>
      </c>
      <c r="H17" s="388">
        <f>C17*F17</f>
        <v>3429371.9192060004</v>
      </c>
      <c r="I17" s="35"/>
      <c r="J17" s="35"/>
      <c r="K17" s="35"/>
      <c r="L17" s="35"/>
      <c r="M17" s="35"/>
      <c r="N17" s="35"/>
      <c r="O17" s="35"/>
      <c r="P17" s="35"/>
      <c r="Q17" s="35"/>
      <c r="R17" s="35"/>
      <c r="S17" s="35"/>
      <c r="T17" s="35"/>
      <c r="U17" s="35"/>
      <c r="V17" s="35"/>
    </row>
    <row r="18" spans="1:22">
      <c r="A18" s="178">
        <f t="shared" ref="A18:A22" si="0">A17+1</f>
        <v>2</v>
      </c>
      <c r="B18" s="178" t="s">
        <v>772</v>
      </c>
      <c r="C18" s="119">
        <f>'Sched C-1'!G26</f>
        <v>15900882.029999999</v>
      </c>
      <c r="D18" s="385">
        <f>'Sched D-1'!D14</f>
        <v>3.3799999999999997E-2</v>
      </c>
      <c r="E18" s="386">
        <f>'H-2 P2'!J20</f>
        <v>536931.4</v>
      </c>
      <c r="F18" s="387">
        <f>'Sched D-1'!E14</f>
        <v>2.06E-2</v>
      </c>
      <c r="G18" s="388">
        <f t="shared" ref="G18:G19" si="1">H18-E18</f>
        <v>-209373.23018200003</v>
      </c>
      <c r="H18" s="388">
        <f t="shared" ref="H18:H19" si="2">C18*F18</f>
        <v>327558.16981799999</v>
      </c>
      <c r="I18" s="35"/>
      <c r="J18" s="35"/>
      <c r="K18" s="35"/>
      <c r="L18" s="35"/>
      <c r="M18" s="35"/>
      <c r="N18" s="35"/>
      <c r="O18" s="35"/>
      <c r="P18" s="35"/>
      <c r="Q18" s="35"/>
      <c r="R18" s="35"/>
      <c r="S18" s="35"/>
      <c r="T18" s="35"/>
      <c r="U18" s="35"/>
      <c r="V18" s="35"/>
    </row>
    <row r="19" spans="1:22">
      <c r="A19" s="178">
        <f t="shared" si="0"/>
        <v>3</v>
      </c>
      <c r="B19" s="178" t="s">
        <v>773</v>
      </c>
      <c r="C19" s="119">
        <f>'Sched C-1'!G27</f>
        <v>20905432.16</v>
      </c>
      <c r="D19" s="385">
        <f>'Sched D-1'!D15</f>
        <v>2.7709999999999999E-2</v>
      </c>
      <c r="E19" s="386">
        <f>'H-2 P2'!J21</f>
        <v>579289.56000000006</v>
      </c>
      <c r="F19" s="387">
        <f>'Sched D-1'!E15</f>
        <v>2.06E-2</v>
      </c>
      <c r="G19" s="388">
        <f t="shared" si="1"/>
        <v>-148637.65750400006</v>
      </c>
      <c r="H19" s="388">
        <f t="shared" si="2"/>
        <v>430651.902496</v>
      </c>
      <c r="I19" s="35"/>
      <c r="J19" s="35"/>
      <c r="K19" s="35"/>
      <c r="L19" s="35"/>
      <c r="M19" s="35"/>
      <c r="N19" s="35"/>
      <c r="O19" s="35"/>
      <c r="P19" s="35"/>
      <c r="Q19" s="35"/>
      <c r="R19" s="35"/>
      <c r="S19" s="35"/>
      <c r="T19" s="35"/>
      <c r="U19" s="35"/>
      <c r="V19" s="35"/>
    </row>
    <row r="20" spans="1:22">
      <c r="A20" s="178">
        <f t="shared" si="0"/>
        <v>4</v>
      </c>
      <c r="B20" s="384" t="s">
        <v>719</v>
      </c>
      <c r="C20" s="119">
        <f>'Sched C-1'!G30</f>
        <v>20638.59</v>
      </c>
      <c r="D20" s="385">
        <f>'Sched D-1'!D16</f>
        <v>0.1</v>
      </c>
      <c r="E20" s="386">
        <f>'H-2 P2'!J24</f>
        <v>0</v>
      </c>
      <c r="F20" s="387">
        <f>'Sched D-1'!E16</f>
        <v>2.06E-2</v>
      </c>
      <c r="G20" s="388">
        <f>H20-E20</f>
        <v>0</v>
      </c>
      <c r="H20" s="488">
        <v>0</v>
      </c>
      <c r="I20" s="35"/>
      <c r="J20" s="35"/>
      <c r="K20" s="35"/>
      <c r="L20" s="35"/>
      <c r="M20" s="35"/>
      <c r="N20" s="35"/>
      <c r="O20" s="35"/>
      <c r="P20" s="35"/>
      <c r="Q20" s="35"/>
      <c r="R20" s="35"/>
      <c r="S20" s="35"/>
      <c r="T20" s="35"/>
      <c r="U20" s="35"/>
      <c r="V20" s="35"/>
    </row>
    <row r="21" spans="1:22">
      <c r="A21" s="178">
        <f t="shared" si="0"/>
        <v>5</v>
      </c>
      <c r="B21" s="121" t="s">
        <v>599</v>
      </c>
      <c r="C21" s="389"/>
      <c r="D21" s="376">
        <f>'Sched D-1'!D17</f>
        <v>1.8E-3</v>
      </c>
      <c r="E21" s="502">
        <v>365704.58</v>
      </c>
      <c r="F21" s="387">
        <f>'Sched D-1'!E17</f>
        <v>7.3000000000000001E-3</v>
      </c>
      <c r="G21" s="377">
        <f>H21-E21</f>
        <v>1118395.0398670002</v>
      </c>
      <c r="H21" s="377">
        <f>C22*F21</f>
        <v>1484099.6198670003</v>
      </c>
      <c r="I21" s="35"/>
      <c r="J21" s="35"/>
      <c r="K21" s="35"/>
      <c r="L21" s="35"/>
      <c r="M21" s="35"/>
      <c r="N21" s="35"/>
      <c r="O21" s="35"/>
      <c r="P21" s="35"/>
      <c r="Q21" s="35"/>
      <c r="R21" s="35"/>
      <c r="S21" s="35"/>
      <c r="T21" s="35"/>
      <c r="U21" s="35"/>
      <c r="V21" s="35"/>
    </row>
    <row r="22" spans="1:22" ht="13.5" thickBot="1">
      <c r="A22" s="178">
        <f t="shared" si="0"/>
        <v>6</v>
      </c>
      <c r="B22" s="113" t="s">
        <v>356</v>
      </c>
      <c r="C22" s="378">
        <f>SUM(C17:C21)</f>
        <v>203301317.79000002</v>
      </c>
      <c r="D22" s="390"/>
      <c r="E22" s="391">
        <f>SUM(E17:E21)</f>
        <v>3644892.2800000003</v>
      </c>
      <c r="F22" s="392"/>
      <c r="G22" s="391">
        <f>SUM(G17:G21)</f>
        <v>2026789.3313870004</v>
      </c>
      <c r="H22" s="413">
        <f>SUM(H17:H21)</f>
        <v>5671681.6113870004</v>
      </c>
      <c r="I22" s="46"/>
      <c r="J22" s="46"/>
      <c r="K22" s="35"/>
      <c r="L22" s="35"/>
      <c r="M22" s="35"/>
      <c r="N22" s="35"/>
      <c r="O22" s="35"/>
      <c r="P22" s="35"/>
      <c r="Q22" s="35"/>
      <c r="R22" s="35"/>
      <c r="S22" s="35"/>
      <c r="T22" s="35"/>
      <c r="U22" s="35"/>
      <c r="V22" s="35"/>
    </row>
    <row r="23" spans="1:22" ht="13.5" thickTop="1">
      <c r="A23" s="104"/>
      <c r="B23" s="121"/>
      <c r="C23" s="393"/>
      <c r="D23" s="390"/>
      <c r="E23" s="377"/>
      <c r="F23" s="392"/>
      <c r="G23" s="377"/>
      <c r="H23" s="487"/>
      <c r="I23" s="46"/>
      <c r="J23" s="46"/>
      <c r="K23" s="35"/>
      <c r="L23" s="35"/>
      <c r="M23" s="35"/>
      <c r="N23" s="35"/>
      <c r="O23" s="35"/>
      <c r="P23" s="35"/>
      <c r="Q23" s="35"/>
      <c r="R23" s="35"/>
      <c r="S23" s="35"/>
      <c r="T23" s="35"/>
      <c r="U23" s="35"/>
      <c r="V23" s="35"/>
    </row>
    <row r="24" spans="1:22">
      <c r="A24" s="104" t="s">
        <v>579</v>
      </c>
      <c r="B24" s="122" t="s">
        <v>367</v>
      </c>
      <c r="C24" s="119"/>
      <c r="D24" s="390"/>
      <c r="E24" s="388"/>
      <c r="F24" s="392"/>
      <c r="G24" s="388"/>
      <c r="H24" s="409"/>
      <c r="I24" s="35"/>
      <c r="J24" s="35"/>
      <c r="K24" s="35"/>
      <c r="L24" s="35"/>
      <c r="M24" s="35"/>
      <c r="N24" s="35"/>
      <c r="O24" s="35"/>
      <c r="P24" s="35"/>
      <c r="Q24" s="35"/>
      <c r="R24" s="35"/>
      <c r="S24" s="35"/>
      <c r="T24" s="35"/>
      <c r="U24" s="35"/>
      <c r="V24" s="35"/>
    </row>
    <row r="25" spans="1:22">
      <c r="A25" s="104">
        <f>A22+1</f>
        <v>7</v>
      </c>
      <c r="B25" s="205" t="s">
        <v>720</v>
      </c>
      <c r="C25" s="119">
        <f>'Sched C-1'!G34</f>
        <v>213194</v>
      </c>
      <c r="D25" s="385">
        <f>'Sched D-1'!D19</f>
        <v>0.1</v>
      </c>
      <c r="E25" s="386">
        <v>0</v>
      </c>
      <c r="F25" s="394">
        <f>'Sched D-1'!E19</f>
        <v>2.5000000000000001E-2</v>
      </c>
      <c r="G25" s="388">
        <f t="shared" ref="G25:G31" si="3">H25-E25</f>
        <v>0</v>
      </c>
      <c r="H25" s="389">
        <v>0</v>
      </c>
      <c r="I25" s="35"/>
      <c r="J25" s="35"/>
      <c r="K25" s="35"/>
      <c r="L25" s="35"/>
      <c r="M25" s="35"/>
      <c r="N25" s="35"/>
      <c r="O25" s="35"/>
      <c r="P25" s="35"/>
      <c r="Q25" s="35"/>
      <c r="R25" s="35"/>
      <c r="S25" s="35"/>
      <c r="T25" s="35"/>
      <c r="U25" s="35"/>
      <c r="V25" s="35"/>
    </row>
    <row r="26" spans="1:22">
      <c r="A26" s="104">
        <f>A25+1</f>
        <v>8</v>
      </c>
      <c r="B26" s="121" t="s">
        <v>332</v>
      </c>
      <c r="C26" s="119">
        <f>'Sched C-1'!G35</f>
        <v>25875.61</v>
      </c>
      <c r="D26" s="385">
        <f>'Sched D-1'!D20</f>
        <v>0.05</v>
      </c>
      <c r="E26" s="386">
        <v>2594.94</v>
      </c>
      <c r="F26" s="394">
        <f>'Sched D-1'!E20</f>
        <v>6.6699999999999995E-2</v>
      </c>
      <c r="G26" s="388">
        <f t="shared" si="3"/>
        <v>-869.03681300000017</v>
      </c>
      <c r="H26" s="409">
        <f t="shared" ref="H26:H31" si="4">C26*F26</f>
        <v>1725.9031869999999</v>
      </c>
      <c r="I26" s="35"/>
      <c r="J26" s="35"/>
      <c r="K26" s="35"/>
      <c r="L26" s="35"/>
      <c r="M26" s="35"/>
      <c r="N26" s="35"/>
      <c r="O26" s="35"/>
      <c r="P26" s="35"/>
      <c r="Q26" s="35"/>
      <c r="R26" s="35"/>
      <c r="S26" s="35"/>
      <c r="T26" s="35"/>
      <c r="U26" s="35"/>
      <c r="V26" s="35"/>
    </row>
    <row r="27" spans="1:22">
      <c r="A27" s="104">
        <f t="shared" ref="A27:A32" si="5">A26+1</f>
        <v>9</v>
      </c>
      <c r="B27" s="119" t="s">
        <v>707</v>
      </c>
      <c r="C27" s="119">
        <f>'Sched C-1'!G36</f>
        <v>3593.1999999999971</v>
      </c>
      <c r="D27" s="385">
        <f>'Sched D-1'!D21</f>
        <v>0.2</v>
      </c>
      <c r="E27" s="386">
        <v>19267.71</v>
      </c>
      <c r="F27" s="394">
        <f>'Sched D-1'!E21</f>
        <v>0.2</v>
      </c>
      <c r="G27" s="388">
        <f t="shared" si="3"/>
        <v>-19267.71</v>
      </c>
      <c r="H27" s="409">
        <v>0</v>
      </c>
      <c r="I27" s="35"/>
      <c r="J27" s="35"/>
      <c r="K27" s="35"/>
      <c r="L27" s="35"/>
      <c r="M27" s="35"/>
      <c r="N27" s="35"/>
      <c r="O27" s="35"/>
      <c r="P27" s="35"/>
      <c r="Q27" s="35"/>
      <c r="R27" s="35"/>
      <c r="S27" s="35"/>
      <c r="T27" s="35"/>
      <c r="U27" s="35"/>
      <c r="V27" s="35"/>
    </row>
    <row r="28" spans="1:22">
      <c r="A28" s="178">
        <f t="shared" si="5"/>
        <v>10</v>
      </c>
      <c r="B28" s="396" t="s">
        <v>721</v>
      </c>
      <c r="C28" s="396">
        <f>'Sched C-1'!G37</f>
        <v>0</v>
      </c>
      <c r="D28" s="376">
        <f>'Sched D-1'!D22</f>
        <v>0.1</v>
      </c>
      <c r="E28" s="386">
        <v>0</v>
      </c>
      <c r="F28" s="394">
        <f>'Sched D-1'!E22</f>
        <v>0</v>
      </c>
      <c r="G28" s="409">
        <f t="shared" si="3"/>
        <v>0</v>
      </c>
      <c r="H28" s="389">
        <v>0</v>
      </c>
      <c r="I28" s="35"/>
      <c r="J28" s="35"/>
      <c r="K28" s="35"/>
      <c r="L28" s="35"/>
      <c r="M28" s="35"/>
      <c r="N28" s="35"/>
      <c r="O28" s="35"/>
      <c r="P28" s="35"/>
      <c r="Q28" s="35"/>
      <c r="R28" s="35"/>
      <c r="S28" s="35"/>
      <c r="T28" s="35"/>
      <c r="U28" s="35"/>
      <c r="V28" s="35"/>
    </row>
    <row r="29" spans="1:22">
      <c r="A29" s="104">
        <f t="shared" si="5"/>
        <v>11</v>
      </c>
      <c r="B29" s="119" t="s">
        <v>722</v>
      </c>
      <c r="C29" s="119">
        <f>'Sched C-1'!G38</f>
        <v>109115.69</v>
      </c>
      <c r="D29" s="385">
        <f>'Sched D-1'!D23</f>
        <v>0.14285999999999999</v>
      </c>
      <c r="E29" s="386">
        <v>20974.48</v>
      </c>
      <c r="F29" s="394">
        <f>'Sched D-1'!E23</f>
        <v>0.1</v>
      </c>
      <c r="G29" s="388">
        <f t="shared" si="3"/>
        <v>-20974.48</v>
      </c>
      <c r="H29" s="389">
        <v>0</v>
      </c>
      <c r="I29" s="35"/>
      <c r="J29" s="35"/>
      <c r="K29" s="35"/>
      <c r="L29" s="35"/>
      <c r="M29" s="35"/>
      <c r="N29" s="35"/>
      <c r="O29" s="35"/>
      <c r="P29" s="35"/>
      <c r="Q29" s="35"/>
      <c r="R29" s="35"/>
      <c r="S29" s="35"/>
      <c r="T29" s="35"/>
      <c r="U29" s="35"/>
      <c r="V29" s="35"/>
    </row>
    <row r="30" spans="1:22">
      <c r="A30" s="104">
        <f t="shared" si="5"/>
        <v>12</v>
      </c>
      <c r="B30" s="119" t="s">
        <v>335</v>
      </c>
      <c r="C30" s="119">
        <f>'Sched C-1'!G40</f>
        <v>298955.81</v>
      </c>
      <c r="D30" s="385">
        <f>'Sched D-1'!D24</f>
        <v>3.3329999999999999E-2</v>
      </c>
      <c r="E30" s="386">
        <v>9491.2999999999993</v>
      </c>
      <c r="F30" s="394">
        <f>'Sched D-1'!E24</f>
        <v>6.6699999999999995E-2</v>
      </c>
      <c r="G30" s="388">
        <f t="shared" si="3"/>
        <v>10449.052527</v>
      </c>
      <c r="H30" s="409">
        <f t="shared" si="4"/>
        <v>19940.352526999999</v>
      </c>
      <c r="I30" s="35"/>
      <c r="J30" s="35"/>
      <c r="K30" s="35"/>
      <c r="L30" s="35"/>
      <c r="M30" s="35"/>
      <c r="N30" s="35"/>
      <c r="O30" s="35"/>
      <c r="P30" s="35"/>
      <c r="Q30" s="35"/>
      <c r="R30" s="35"/>
      <c r="S30" s="35"/>
      <c r="T30" s="35"/>
      <c r="U30" s="35"/>
      <c r="V30" s="35"/>
    </row>
    <row r="31" spans="1:22">
      <c r="A31" s="104">
        <f t="shared" si="5"/>
        <v>13</v>
      </c>
      <c r="B31" s="119" t="s">
        <v>588</v>
      </c>
      <c r="C31" s="119">
        <f>'Sched C-1'!G43</f>
        <v>229688.56</v>
      </c>
      <c r="D31" s="385">
        <f>'Sched D-1'!D25</f>
        <v>3.3329999999999999E-2</v>
      </c>
      <c r="E31" s="386">
        <v>6059.46</v>
      </c>
      <c r="F31" s="394">
        <f>'Sched D-1'!E25</f>
        <v>0.1002</v>
      </c>
      <c r="G31" s="388">
        <f t="shared" si="3"/>
        <v>16955.333712</v>
      </c>
      <c r="H31" s="409">
        <f t="shared" si="4"/>
        <v>23014.793711999999</v>
      </c>
      <c r="I31" s="35"/>
      <c r="J31" s="35"/>
      <c r="K31" s="35"/>
      <c r="L31" s="35"/>
      <c r="M31" s="35"/>
      <c r="N31" s="35"/>
      <c r="O31" s="35"/>
      <c r="P31" s="35"/>
      <c r="Q31" s="35"/>
      <c r="R31" s="35"/>
      <c r="S31" s="35"/>
      <c r="T31" s="35"/>
      <c r="U31" s="35"/>
      <c r="V31" s="35"/>
    </row>
    <row r="32" spans="1:22" ht="13.5" thickBot="1">
      <c r="A32" s="104">
        <f t="shared" si="5"/>
        <v>14</v>
      </c>
      <c r="B32" s="122" t="s">
        <v>339</v>
      </c>
      <c r="C32" s="378">
        <f>SUM(C25:C31)</f>
        <v>880422.87000000011</v>
      </c>
      <c r="D32" s="390"/>
      <c r="E32" s="391">
        <f>SUM(E25:E31)</f>
        <v>58387.889999999992</v>
      </c>
      <c r="F32" s="392"/>
      <c r="G32" s="391">
        <f>SUM(G25:G31)</f>
        <v>-13706.840574000002</v>
      </c>
      <c r="H32" s="413">
        <f>SUM(H25:H31)</f>
        <v>44681.049425999998</v>
      </c>
      <c r="I32" s="35"/>
      <c r="J32" s="35"/>
      <c r="K32" s="5"/>
      <c r="L32" s="5"/>
      <c r="M32" s="5"/>
      <c r="N32" s="5"/>
      <c r="O32" s="5"/>
      <c r="P32" s="5"/>
      <c r="Q32" s="5"/>
      <c r="R32" s="5"/>
      <c r="S32" s="5"/>
      <c r="T32" s="5"/>
      <c r="U32" s="5"/>
      <c r="V32" s="5"/>
    </row>
    <row r="33" spans="1:22" s="73" customFormat="1" ht="13.5" thickTop="1">
      <c r="A33" s="79"/>
      <c r="B33" s="205"/>
      <c r="C33" s="393"/>
      <c r="D33" s="390"/>
      <c r="E33" s="377"/>
      <c r="F33" s="392"/>
      <c r="G33" s="377"/>
      <c r="H33" s="487"/>
      <c r="I33" s="46"/>
      <c r="J33" s="46"/>
      <c r="K33" s="12"/>
      <c r="L33" s="12"/>
      <c r="M33" s="12"/>
      <c r="N33" s="12"/>
      <c r="O33" s="12"/>
      <c r="P33" s="12"/>
      <c r="Q33" s="12"/>
      <c r="R33" s="12"/>
      <c r="S33" s="12"/>
      <c r="T33" s="12"/>
      <c r="U33" s="12"/>
      <c r="V33" s="12"/>
    </row>
    <row r="34" spans="1:22" s="73" customFormat="1">
      <c r="A34" s="79"/>
      <c r="B34" s="439" t="s">
        <v>833</v>
      </c>
      <c r="C34" s="393"/>
      <c r="D34" s="390"/>
      <c r="E34" s="377"/>
      <c r="F34" s="392"/>
      <c r="G34" s="377"/>
      <c r="H34" s="487"/>
      <c r="I34" s="46"/>
      <c r="J34" s="46"/>
      <c r="K34" s="12"/>
      <c r="L34" s="12"/>
      <c r="M34" s="12"/>
      <c r="N34" s="12"/>
      <c r="O34" s="12"/>
      <c r="P34" s="12"/>
      <c r="Q34" s="12"/>
      <c r="R34" s="12"/>
      <c r="S34" s="12"/>
      <c r="T34" s="12"/>
      <c r="U34" s="12"/>
      <c r="V34" s="12"/>
    </row>
    <row r="35" spans="1:22" s="73" customFormat="1">
      <c r="A35" s="79"/>
      <c r="B35" s="117" t="s">
        <v>303</v>
      </c>
      <c r="C35" s="393"/>
      <c r="D35" s="390"/>
      <c r="E35" s="377"/>
      <c r="F35" s="392"/>
      <c r="G35" s="377"/>
      <c r="H35" s="487"/>
      <c r="I35" s="46"/>
      <c r="J35" s="46"/>
      <c r="K35" s="12"/>
      <c r="L35" s="12"/>
      <c r="M35" s="12"/>
      <c r="N35" s="12"/>
      <c r="O35" s="12"/>
      <c r="P35" s="12"/>
      <c r="Q35" s="12"/>
      <c r="R35" s="12"/>
      <c r="S35" s="12"/>
      <c r="T35" s="12"/>
      <c r="U35" s="12"/>
      <c r="V35" s="12"/>
    </row>
    <row r="36" spans="1:22" s="73" customFormat="1">
      <c r="A36" s="104">
        <f>A32+1</f>
        <v>15</v>
      </c>
      <c r="B36" s="156" t="s">
        <v>303</v>
      </c>
      <c r="C36" s="393">
        <f>'Sched C-1'!G17</f>
        <v>672548.25</v>
      </c>
      <c r="D36" s="286">
        <f>'Sched D-1'!D18</f>
        <v>1.2999999999999999E-2</v>
      </c>
      <c r="E36" s="397">
        <v>8743.08</v>
      </c>
      <c r="F36" s="387">
        <f>'Sched D-1'!E18</f>
        <v>1.6799999999999999E-2</v>
      </c>
      <c r="G36" s="388">
        <f>H36-E36</f>
        <v>2555.730599999999</v>
      </c>
      <c r="H36" s="409">
        <f>C36*F36</f>
        <v>11298.810599999999</v>
      </c>
      <c r="I36" s="46"/>
      <c r="J36" s="46"/>
      <c r="K36" s="12"/>
      <c r="L36" s="12"/>
      <c r="M36" s="12"/>
      <c r="N36" s="12"/>
      <c r="O36" s="12"/>
      <c r="P36" s="12"/>
      <c r="Q36" s="12"/>
      <c r="R36" s="12"/>
      <c r="S36" s="12"/>
      <c r="T36" s="12"/>
      <c r="U36" s="12"/>
      <c r="V36" s="12"/>
    </row>
    <row r="37" spans="1:22" s="73" customFormat="1" ht="13.5" thickBot="1">
      <c r="A37" s="79">
        <f>A36+1</f>
        <v>16</v>
      </c>
      <c r="B37" s="501" t="s">
        <v>724</v>
      </c>
      <c r="C37" s="378">
        <f>SUM(C36)</f>
        <v>672548.25</v>
      </c>
      <c r="D37" s="398"/>
      <c r="E37" s="391">
        <f>SUM(E36)</f>
        <v>8743.08</v>
      </c>
      <c r="F37" s="399"/>
      <c r="G37" s="391">
        <f>SUM(G36)</f>
        <v>2555.730599999999</v>
      </c>
      <c r="H37" s="391">
        <f>SUM(H36)</f>
        <v>11298.810599999999</v>
      </c>
      <c r="I37" s="46"/>
      <c r="J37" s="46"/>
      <c r="K37" s="12"/>
      <c r="L37" s="12"/>
      <c r="M37" s="12"/>
      <c r="N37" s="12"/>
      <c r="O37" s="12"/>
      <c r="P37" s="12"/>
      <c r="Q37" s="12"/>
      <c r="R37" s="12"/>
      <c r="S37" s="12"/>
      <c r="T37" s="12"/>
      <c r="U37" s="12"/>
      <c r="V37" s="12"/>
    </row>
    <row r="38" spans="1:22" s="73" customFormat="1" ht="13.5" thickTop="1">
      <c r="A38" s="79"/>
      <c r="B38" s="205"/>
      <c r="C38" s="393"/>
      <c r="D38" s="390"/>
      <c r="E38" s="377"/>
      <c r="F38" s="392"/>
      <c r="G38" s="377"/>
      <c r="H38" s="377"/>
      <c r="I38" s="46"/>
      <c r="J38" s="46"/>
      <c r="K38" s="12"/>
      <c r="L38" s="12"/>
      <c r="M38" s="12"/>
      <c r="N38" s="12"/>
      <c r="O38" s="12"/>
      <c r="P38" s="12"/>
      <c r="Q38" s="12"/>
      <c r="R38" s="12"/>
      <c r="S38" s="12"/>
      <c r="T38" s="12"/>
      <c r="U38" s="12"/>
      <c r="V38" s="12"/>
    </row>
    <row r="39" spans="1:22" ht="13.5" thickBot="1">
      <c r="A39" s="104">
        <f>A37+1</f>
        <v>17</v>
      </c>
      <c r="B39" s="117" t="s">
        <v>589</v>
      </c>
      <c r="C39" s="400">
        <f>+C22+C32+C37</f>
        <v>204854288.91000003</v>
      </c>
      <c r="D39" s="390"/>
      <c r="E39" s="400">
        <f>+E22+E32+E37</f>
        <v>3712023.2500000005</v>
      </c>
      <c r="F39" s="392"/>
      <c r="G39" s="401">
        <f>+G22+G32+G37</f>
        <v>2015638.2214130003</v>
      </c>
      <c r="H39" s="400">
        <f>+H22+H32+H37</f>
        <v>5727661.4714130005</v>
      </c>
      <c r="I39" s="35"/>
      <c r="J39" s="35"/>
      <c r="K39" s="5"/>
      <c r="L39" s="5"/>
      <c r="M39" s="5"/>
      <c r="N39" s="5"/>
      <c r="O39" s="5"/>
      <c r="P39" s="5"/>
      <c r="Q39" s="5"/>
      <c r="R39" s="5"/>
      <c r="S39" s="5"/>
      <c r="T39" s="5"/>
      <c r="U39" s="5"/>
      <c r="V39" s="5"/>
    </row>
    <row r="40" spans="1:22" ht="15" customHeight="1" thickTop="1">
      <c r="A40" s="104" t="s">
        <v>579</v>
      </c>
      <c r="B40" s="117"/>
      <c r="C40" s="119"/>
      <c r="D40" s="390"/>
      <c r="E40" s="388"/>
      <c r="F40" s="392"/>
      <c r="G40" s="388"/>
      <c r="H40" s="388"/>
      <c r="I40" s="35"/>
      <c r="J40" s="35"/>
      <c r="K40" s="5"/>
      <c r="L40" s="5"/>
      <c r="M40" s="5"/>
      <c r="N40" s="5"/>
      <c r="O40" s="5"/>
      <c r="P40" s="5"/>
      <c r="Q40" s="5"/>
      <c r="R40" s="5"/>
      <c r="S40" s="5"/>
      <c r="T40" s="5"/>
      <c r="U40" s="5"/>
      <c r="V40" s="5"/>
    </row>
    <row r="41" spans="1:22">
      <c r="A41" s="104" t="s">
        <v>579</v>
      </c>
      <c r="B41" s="104"/>
      <c r="C41" s="123"/>
      <c r="D41" s="402"/>
      <c r="E41" s="403" t="s">
        <v>579</v>
      </c>
      <c r="F41" s="404"/>
      <c r="G41" s="403"/>
      <c r="H41" s="403"/>
      <c r="I41" s="5"/>
      <c r="J41" s="5"/>
      <c r="K41" s="5"/>
      <c r="L41" s="5"/>
      <c r="M41" s="5"/>
      <c r="N41" s="5"/>
      <c r="O41" s="5"/>
      <c r="P41" s="5"/>
      <c r="Q41" s="5"/>
      <c r="R41" s="5"/>
      <c r="S41" s="5"/>
      <c r="T41" s="5"/>
      <c r="U41" s="5"/>
      <c r="V41" s="5"/>
    </row>
    <row r="42" spans="1:22">
      <c r="A42" s="104">
        <f>A39+1</f>
        <v>18</v>
      </c>
      <c r="B42" s="112" t="s">
        <v>612</v>
      </c>
      <c r="C42" s="396">
        <f>'Sched C-1'!G20+'Sched C-1'!G25</f>
        <v>793524.67</v>
      </c>
      <c r="D42" s="405">
        <v>0</v>
      </c>
      <c r="E42" s="408">
        <v>0</v>
      </c>
      <c r="F42" s="405">
        <v>0</v>
      </c>
      <c r="G42" s="409">
        <f>H42-E42</f>
        <v>0</v>
      </c>
      <c r="H42" s="409">
        <f>C42*F42</f>
        <v>0</v>
      </c>
      <c r="I42" s="5"/>
      <c r="J42" s="5"/>
      <c r="K42" s="5"/>
      <c r="L42" s="5"/>
      <c r="M42" s="5"/>
      <c r="N42" s="5"/>
      <c r="O42" s="5"/>
      <c r="P42" s="5"/>
      <c r="Q42" s="5"/>
      <c r="R42" s="5"/>
      <c r="S42" s="5"/>
      <c r="T42" s="5"/>
      <c r="U42" s="5"/>
      <c r="V42" s="5"/>
    </row>
    <row r="43" spans="1:22">
      <c r="A43" s="104"/>
      <c r="B43" s="112"/>
      <c r="C43" s="396"/>
      <c r="D43" s="405"/>
      <c r="E43" s="408"/>
      <c r="F43" s="405"/>
      <c r="G43" s="409"/>
      <c r="H43" s="409"/>
      <c r="I43" s="5"/>
      <c r="J43" s="5"/>
      <c r="K43" s="5"/>
      <c r="L43" s="5"/>
      <c r="M43" s="5"/>
      <c r="N43" s="5"/>
      <c r="O43" s="5"/>
      <c r="P43" s="5"/>
      <c r="Q43" s="5"/>
      <c r="R43" s="5"/>
      <c r="S43" s="5"/>
      <c r="T43" s="5"/>
      <c r="U43" s="5"/>
      <c r="V43" s="5"/>
    </row>
    <row r="44" spans="1:22">
      <c r="A44" s="104" t="s">
        <v>579</v>
      </c>
      <c r="B44" s="112"/>
      <c r="C44" s="410"/>
      <c r="D44" s="404" t="s">
        <v>579</v>
      </c>
      <c r="E44" s="411"/>
      <c r="F44" s="341"/>
      <c r="G44" s="411"/>
      <c r="H44" s="411"/>
      <c r="I44" s="5"/>
      <c r="J44" s="5"/>
      <c r="K44" s="5"/>
      <c r="L44" s="5"/>
      <c r="M44" s="5"/>
      <c r="N44" s="5"/>
      <c r="O44" s="5"/>
      <c r="P44" s="5"/>
      <c r="Q44" s="5"/>
      <c r="R44" s="5"/>
      <c r="S44" s="5"/>
      <c r="T44" s="5"/>
      <c r="U44" s="5"/>
      <c r="V44" s="5"/>
    </row>
    <row r="45" spans="1:22" ht="13.5" thickBot="1">
      <c r="A45" s="104">
        <f>+A42+1</f>
        <v>19</v>
      </c>
      <c r="B45" s="113" t="s">
        <v>356</v>
      </c>
      <c r="C45" s="412">
        <f>+C39+C42</f>
        <v>205647813.58000001</v>
      </c>
      <c r="D45" s="404"/>
      <c r="E45" s="413">
        <f>+E39+E42</f>
        <v>3712023.2500000005</v>
      </c>
      <c r="F45" s="406"/>
      <c r="G45" s="413">
        <f>+G39+G42</f>
        <v>2015638.2214130003</v>
      </c>
      <c r="H45" s="413">
        <f>+H39+H42</f>
        <v>5727661.4714130005</v>
      </c>
      <c r="I45" s="5"/>
      <c r="J45" s="5"/>
      <c r="K45" s="5"/>
      <c r="L45" s="5"/>
      <c r="M45" s="5"/>
      <c r="N45" s="5"/>
      <c r="O45" s="5"/>
      <c r="P45" s="5"/>
      <c r="Q45" s="5"/>
      <c r="R45" s="5"/>
      <c r="S45" s="5"/>
      <c r="T45" s="5"/>
      <c r="U45" s="5"/>
      <c r="V45" s="5"/>
    </row>
    <row r="46" spans="1:22" ht="13.5" thickTop="1">
      <c r="A46" s="116"/>
      <c r="B46" s="116"/>
      <c r="C46" s="123"/>
      <c r="D46" s="124"/>
      <c r="E46" s="123"/>
      <c r="F46" s="406"/>
      <c r="G46" s="123"/>
      <c r="H46" s="123"/>
      <c r="I46" s="5"/>
      <c r="J46" s="5"/>
      <c r="K46" s="5"/>
      <c r="L46" s="5"/>
      <c r="M46" s="5"/>
      <c r="N46" s="5"/>
      <c r="O46" s="5"/>
      <c r="P46" s="5"/>
      <c r="Q46" s="5"/>
      <c r="R46" s="5"/>
      <c r="S46" s="5"/>
      <c r="T46" s="5"/>
      <c r="U46" s="5"/>
      <c r="V46" s="5"/>
    </row>
    <row r="47" spans="1:22">
      <c r="A47" s="104"/>
      <c r="B47" s="104"/>
      <c r="C47" s="123"/>
      <c r="D47" s="124"/>
      <c r="E47" s="123"/>
      <c r="F47" s="406"/>
      <c r="G47" s="123"/>
      <c r="H47" s="123"/>
      <c r="I47" s="5"/>
      <c r="J47" s="5"/>
      <c r="K47" s="5"/>
      <c r="L47" s="5"/>
      <c r="M47" s="5"/>
      <c r="N47" s="5"/>
      <c r="O47" s="5"/>
      <c r="P47" s="5"/>
      <c r="Q47" s="5"/>
      <c r="R47" s="5"/>
      <c r="S47" s="5"/>
      <c r="T47" s="5"/>
      <c r="U47" s="5"/>
      <c r="V47" s="5"/>
    </row>
    <row r="48" spans="1:22">
      <c r="A48" s="104"/>
      <c r="B48" s="104"/>
      <c r="C48" s="112"/>
      <c r="D48" s="120"/>
      <c r="E48" s="119"/>
      <c r="F48" s="341"/>
      <c r="G48" s="119"/>
      <c r="H48" s="119"/>
      <c r="I48" s="5"/>
      <c r="J48" s="5"/>
      <c r="K48" s="5"/>
      <c r="L48" s="5"/>
      <c r="M48" s="5"/>
      <c r="N48" s="5"/>
      <c r="O48" s="5"/>
      <c r="P48" s="5"/>
      <c r="Q48" s="5"/>
      <c r="R48" s="5"/>
      <c r="S48" s="5"/>
      <c r="T48" s="5"/>
      <c r="U48" s="5"/>
      <c r="V48" s="5"/>
    </row>
    <row r="49" spans="1:22">
      <c r="A49" s="104"/>
      <c r="B49" s="104"/>
      <c r="C49" s="5"/>
      <c r="E49" s="5"/>
      <c r="F49" s="405"/>
      <c r="G49" s="5"/>
      <c r="H49" s="5"/>
      <c r="I49" s="5"/>
      <c r="J49" s="5"/>
      <c r="K49" s="5"/>
      <c r="L49" s="5"/>
      <c r="M49" s="5"/>
      <c r="N49" s="5"/>
      <c r="O49" s="5"/>
      <c r="P49" s="5"/>
      <c r="Q49" s="5"/>
      <c r="R49" s="5"/>
      <c r="S49" s="5"/>
      <c r="T49" s="5"/>
      <c r="U49" s="5"/>
      <c r="V49" s="5"/>
    </row>
    <row r="50" spans="1:22">
      <c r="B50" s="104" t="s">
        <v>723</v>
      </c>
      <c r="C50" s="5"/>
      <c r="E50" s="5"/>
      <c r="F50" s="407"/>
      <c r="G50" s="5"/>
      <c r="H50" s="5"/>
      <c r="I50" s="5"/>
      <c r="J50" s="5"/>
      <c r="K50" s="5"/>
      <c r="L50" s="5"/>
      <c r="M50" s="5"/>
      <c r="N50" s="5"/>
      <c r="O50" s="5"/>
      <c r="P50" s="5"/>
      <c r="Q50" s="5"/>
      <c r="R50" s="5"/>
      <c r="S50" s="5"/>
      <c r="T50" s="5"/>
      <c r="U50" s="5"/>
      <c r="V50" s="5"/>
    </row>
    <row r="51" spans="1:22">
      <c r="C51" s="5"/>
      <c r="E51" s="5"/>
      <c r="F51" s="407"/>
      <c r="G51" s="5"/>
      <c r="H51" s="5"/>
      <c r="I51" s="5"/>
      <c r="J51" s="5"/>
      <c r="K51" s="5"/>
      <c r="L51" s="5"/>
      <c r="M51" s="5"/>
      <c r="N51" s="5"/>
      <c r="O51" s="5"/>
      <c r="P51" s="5"/>
      <c r="Q51" s="5"/>
      <c r="R51" s="5"/>
      <c r="S51" s="5"/>
      <c r="T51" s="5"/>
      <c r="U51" s="5"/>
      <c r="V51" s="5"/>
    </row>
    <row r="52" spans="1:22">
      <c r="C52" s="5"/>
      <c r="E52" s="5"/>
      <c r="F52" s="407"/>
      <c r="G52" s="5"/>
      <c r="H52" s="5"/>
      <c r="I52" s="5"/>
      <c r="J52" s="5"/>
      <c r="K52" s="5"/>
      <c r="L52" s="5"/>
      <c r="M52" s="5"/>
      <c r="N52" s="5"/>
      <c r="O52" s="5"/>
      <c r="P52" s="5"/>
      <c r="Q52" s="5"/>
      <c r="R52" s="5"/>
      <c r="S52" s="5"/>
      <c r="T52" s="5"/>
      <c r="U52" s="5"/>
      <c r="V52" s="5"/>
    </row>
    <row r="53" spans="1:22">
      <c r="C53" s="5"/>
      <c r="E53" s="5"/>
      <c r="F53" s="407"/>
      <c r="G53" s="5"/>
      <c r="H53" s="5"/>
      <c r="I53" s="5"/>
      <c r="J53" s="5"/>
      <c r="K53" s="5"/>
      <c r="L53" s="5"/>
      <c r="M53" s="5"/>
      <c r="N53" s="5"/>
      <c r="O53" s="5"/>
      <c r="P53" s="5"/>
      <c r="Q53" s="5"/>
      <c r="R53" s="5"/>
      <c r="S53" s="5"/>
      <c r="T53" s="5"/>
      <c r="U53" s="5"/>
      <c r="V53" s="5"/>
    </row>
    <row r="54" spans="1:22">
      <c r="C54" s="5"/>
      <c r="E54" s="5"/>
      <c r="F54" s="407"/>
      <c r="G54" s="5"/>
      <c r="H54" s="5"/>
      <c r="I54" s="5"/>
      <c r="J54" s="5"/>
      <c r="K54" s="5"/>
      <c r="L54" s="5"/>
      <c r="M54" s="5"/>
      <c r="N54" s="5"/>
      <c r="O54" s="5"/>
      <c r="P54" s="5"/>
      <c r="Q54" s="5"/>
      <c r="R54" s="5"/>
      <c r="S54" s="5"/>
      <c r="T54" s="5"/>
      <c r="U54" s="5"/>
      <c r="V54" s="5"/>
    </row>
    <row r="55" spans="1:22">
      <c r="C55" s="5"/>
      <c r="E55" s="5"/>
      <c r="F55" s="407"/>
      <c r="G55" s="5"/>
      <c r="H55" s="5"/>
      <c r="I55" s="5"/>
      <c r="J55" s="5"/>
      <c r="K55" s="5"/>
      <c r="L55" s="5"/>
      <c r="M55" s="5"/>
      <c r="N55" s="5"/>
      <c r="O55" s="5"/>
      <c r="P55" s="5"/>
      <c r="Q55" s="5"/>
      <c r="R55" s="5"/>
      <c r="S55" s="5"/>
      <c r="T55" s="5"/>
      <c r="U55" s="5"/>
      <c r="V55" s="5"/>
    </row>
    <row r="56" spans="1:22">
      <c r="C56" s="5"/>
      <c r="E56" s="5"/>
      <c r="F56" s="407"/>
      <c r="G56" s="5"/>
      <c r="H56" s="5"/>
      <c r="I56" s="5"/>
      <c r="J56" s="5"/>
      <c r="K56" s="5"/>
      <c r="L56" s="5"/>
      <c r="M56" s="5"/>
      <c r="N56" s="5"/>
      <c r="O56" s="5"/>
      <c r="P56" s="5"/>
      <c r="Q56" s="5"/>
      <c r="R56" s="5"/>
      <c r="S56" s="5"/>
      <c r="T56" s="5"/>
      <c r="U56" s="5"/>
      <c r="V56" s="5"/>
    </row>
    <row r="57" spans="1:22">
      <c r="C57" s="5"/>
      <c r="E57" s="5"/>
      <c r="F57" s="341"/>
      <c r="G57" s="5"/>
      <c r="H57" s="5"/>
      <c r="I57" s="5"/>
      <c r="J57" s="5"/>
      <c r="K57" s="5"/>
      <c r="L57" s="5"/>
      <c r="M57" s="5"/>
      <c r="N57" s="5"/>
      <c r="O57" s="5"/>
      <c r="P57" s="5"/>
      <c r="Q57" s="5"/>
      <c r="R57" s="5"/>
      <c r="S57" s="5"/>
      <c r="T57" s="5"/>
      <c r="U57" s="5"/>
      <c r="V57" s="5"/>
    </row>
    <row r="58" spans="1:22">
      <c r="C58" s="5"/>
      <c r="E58" s="5"/>
      <c r="F58" s="341"/>
      <c r="G58" s="5"/>
      <c r="H58" s="5"/>
      <c r="I58" s="5"/>
      <c r="J58" s="5"/>
      <c r="K58" s="5"/>
      <c r="L58" s="5"/>
      <c r="M58" s="5"/>
      <c r="N58" s="5"/>
      <c r="O58" s="5"/>
      <c r="P58" s="5"/>
      <c r="Q58" s="5"/>
      <c r="R58" s="5"/>
      <c r="S58" s="5"/>
      <c r="T58" s="5"/>
      <c r="U58" s="5"/>
      <c r="V58" s="5"/>
    </row>
    <row r="59" spans="1:22">
      <c r="C59" s="5"/>
      <c r="E59" s="5"/>
      <c r="F59" s="341"/>
      <c r="G59" s="5"/>
      <c r="H59" s="5"/>
      <c r="I59" s="5"/>
      <c r="J59" s="5"/>
      <c r="K59" s="5"/>
      <c r="L59" s="5"/>
      <c r="M59" s="5"/>
      <c r="N59" s="5"/>
      <c r="O59" s="5"/>
      <c r="P59" s="5"/>
      <c r="Q59" s="5"/>
      <c r="R59" s="5"/>
      <c r="S59" s="5"/>
      <c r="T59" s="5"/>
      <c r="U59" s="5"/>
      <c r="V59" s="5"/>
    </row>
    <row r="60" spans="1:22">
      <c r="C60" s="5"/>
      <c r="E60" s="5"/>
      <c r="F60" s="341"/>
      <c r="G60" s="5"/>
      <c r="H60" s="5"/>
      <c r="I60" s="5"/>
      <c r="J60" s="5"/>
      <c r="K60" s="5"/>
      <c r="L60" s="5"/>
      <c r="M60" s="5"/>
      <c r="N60" s="5"/>
      <c r="O60" s="5"/>
      <c r="P60" s="5"/>
      <c r="Q60" s="5"/>
      <c r="R60" s="5"/>
      <c r="S60" s="5"/>
      <c r="T60" s="5"/>
      <c r="U60" s="5"/>
      <c r="V60" s="5"/>
    </row>
    <row r="61" spans="1:22">
      <c r="C61" s="5"/>
      <c r="E61" s="5"/>
      <c r="F61" s="341"/>
      <c r="G61" s="5"/>
      <c r="H61" s="5"/>
      <c r="I61" s="5"/>
      <c r="J61" s="5"/>
      <c r="K61" s="5"/>
      <c r="L61" s="5"/>
      <c r="M61" s="5"/>
      <c r="N61" s="5"/>
      <c r="O61" s="5"/>
      <c r="P61" s="5"/>
      <c r="Q61" s="5"/>
      <c r="R61" s="5"/>
      <c r="S61" s="5"/>
      <c r="T61" s="5"/>
      <c r="U61" s="5"/>
      <c r="V61" s="5"/>
    </row>
    <row r="62" spans="1:22">
      <c r="C62" s="5"/>
      <c r="E62" s="5"/>
      <c r="F62" s="341"/>
      <c r="G62" s="5"/>
      <c r="H62" s="5"/>
      <c r="I62" s="5"/>
      <c r="J62" s="5"/>
      <c r="K62" s="5"/>
      <c r="L62" s="5"/>
      <c r="M62" s="5"/>
      <c r="N62" s="5"/>
      <c r="O62" s="5"/>
      <c r="P62" s="5"/>
      <c r="Q62" s="5"/>
      <c r="R62" s="5"/>
      <c r="S62" s="5"/>
      <c r="T62" s="5"/>
      <c r="U62" s="5"/>
      <c r="V62" s="5"/>
    </row>
    <row r="63" spans="1:22">
      <c r="C63" s="5"/>
      <c r="E63" s="5"/>
      <c r="F63" s="341"/>
      <c r="G63" s="5"/>
      <c r="H63" s="5"/>
      <c r="I63" s="5"/>
      <c r="J63" s="5"/>
      <c r="K63" s="5"/>
      <c r="L63" s="5"/>
      <c r="M63" s="5"/>
      <c r="N63" s="5"/>
      <c r="O63" s="5"/>
      <c r="P63" s="5"/>
      <c r="Q63" s="5"/>
      <c r="R63" s="5"/>
      <c r="S63" s="5"/>
      <c r="T63" s="5"/>
      <c r="U63" s="5"/>
      <c r="V63" s="5"/>
    </row>
    <row r="64" spans="1:22">
      <c r="C64" s="5"/>
      <c r="E64" s="5"/>
      <c r="F64" s="341"/>
      <c r="G64" s="5"/>
      <c r="H64" s="5"/>
      <c r="I64" s="5"/>
      <c r="J64" s="5"/>
      <c r="K64" s="5"/>
      <c r="L64" s="5"/>
      <c r="M64" s="5"/>
      <c r="N64" s="5"/>
      <c r="O64" s="5"/>
      <c r="P64" s="5"/>
      <c r="Q64" s="5"/>
      <c r="R64" s="5"/>
      <c r="S64" s="5"/>
      <c r="T64" s="5"/>
      <c r="U64" s="5"/>
      <c r="V64" s="5"/>
    </row>
    <row r="65" spans="3:22">
      <c r="C65" s="5"/>
      <c r="E65" s="5"/>
      <c r="F65" s="129"/>
      <c r="G65" s="5"/>
      <c r="H65" s="5"/>
      <c r="I65" s="5"/>
      <c r="J65" s="5"/>
      <c r="K65" s="5"/>
      <c r="L65" s="5"/>
      <c r="M65" s="5"/>
      <c r="N65" s="5"/>
      <c r="O65" s="5"/>
      <c r="P65" s="5"/>
      <c r="Q65" s="5"/>
      <c r="R65" s="5"/>
      <c r="S65" s="5"/>
      <c r="T65" s="5"/>
      <c r="U65" s="5"/>
      <c r="V65" s="5"/>
    </row>
    <row r="66" spans="3:22">
      <c r="C66" s="5"/>
      <c r="E66" s="5"/>
      <c r="F66" s="129"/>
      <c r="G66" s="5"/>
      <c r="H66" s="5"/>
      <c r="I66" s="5"/>
      <c r="J66" s="5"/>
      <c r="K66" s="5"/>
      <c r="L66" s="5"/>
      <c r="M66" s="5"/>
      <c r="N66" s="5"/>
      <c r="O66" s="5"/>
      <c r="P66" s="5"/>
      <c r="Q66" s="5"/>
      <c r="R66" s="5"/>
      <c r="S66" s="5"/>
      <c r="T66" s="5"/>
      <c r="U66" s="5"/>
      <c r="V66" s="5"/>
    </row>
    <row r="67" spans="3:22">
      <c r="C67" s="5"/>
      <c r="E67" s="5"/>
      <c r="F67" s="129"/>
      <c r="G67" s="5"/>
      <c r="H67" s="5"/>
      <c r="I67" s="5"/>
      <c r="J67" s="5"/>
      <c r="K67" s="5"/>
      <c r="L67" s="5"/>
      <c r="M67" s="5"/>
      <c r="N67" s="5"/>
      <c r="O67" s="5"/>
      <c r="P67" s="5"/>
      <c r="Q67" s="5"/>
      <c r="R67" s="5"/>
      <c r="S67" s="5"/>
      <c r="T67" s="5"/>
      <c r="U67" s="5"/>
      <c r="V67" s="5"/>
    </row>
    <row r="68" spans="3:22">
      <c r="C68" s="5"/>
      <c r="E68" s="5"/>
      <c r="F68" s="129"/>
      <c r="G68" s="5"/>
      <c r="H68" s="5"/>
      <c r="I68" s="5"/>
      <c r="J68" s="5"/>
      <c r="K68" s="5"/>
      <c r="L68" s="5"/>
      <c r="M68" s="5"/>
      <c r="N68" s="5"/>
      <c r="O68" s="5"/>
      <c r="P68" s="5"/>
      <c r="Q68" s="5"/>
      <c r="R68" s="5"/>
      <c r="S68" s="5"/>
      <c r="T68" s="5"/>
      <c r="U68" s="5"/>
      <c r="V68" s="5"/>
    </row>
    <row r="69" spans="3:22">
      <c r="C69" s="5"/>
      <c r="E69" s="5"/>
      <c r="F69" s="129"/>
      <c r="G69" s="5"/>
      <c r="H69" s="5"/>
      <c r="I69" s="5"/>
      <c r="J69" s="5"/>
      <c r="K69" s="5"/>
      <c r="L69" s="5"/>
      <c r="M69" s="5"/>
      <c r="N69" s="5"/>
      <c r="O69" s="5"/>
      <c r="P69" s="5"/>
      <c r="Q69" s="5"/>
      <c r="R69" s="5"/>
      <c r="S69" s="5"/>
      <c r="T69" s="5"/>
      <c r="U69" s="5"/>
      <c r="V69" s="5"/>
    </row>
    <row r="70" spans="3:22">
      <c r="C70" s="5"/>
    </row>
    <row r="71" spans="3:22">
      <c r="C71" s="5"/>
    </row>
    <row r="72" spans="3:22">
      <c r="C72" s="5"/>
    </row>
    <row r="73" spans="3:22">
      <c r="C73" s="5"/>
    </row>
    <row r="74" spans="3:22">
      <c r="C74" s="5"/>
    </row>
    <row r="75" spans="3:22">
      <c r="C75" s="5"/>
    </row>
    <row r="76" spans="3:22">
      <c r="C76" s="5"/>
    </row>
    <row r="77" spans="3:22">
      <c r="C77" s="5"/>
    </row>
    <row r="78" spans="3:22">
      <c r="C78" s="5"/>
    </row>
    <row r="79" spans="3:22">
      <c r="C79" s="5"/>
    </row>
    <row r="80" spans="3:22">
      <c r="C80" s="5"/>
    </row>
    <row r="81" spans="3:3">
      <c r="C81" s="5"/>
    </row>
    <row r="82" spans="3:3">
      <c r="C82" s="5"/>
    </row>
    <row r="83" spans="3:3">
      <c r="C83" s="5"/>
    </row>
    <row r="84" spans="3:3">
      <c r="C84" s="5"/>
    </row>
    <row r="85" spans="3:3">
      <c r="C85" s="5"/>
    </row>
    <row r="86" spans="3:3">
      <c r="C86" s="5"/>
    </row>
    <row r="87" spans="3:3">
      <c r="C87" s="5"/>
    </row>
    <row r="88" spans="3:3">
      <c r="C88" s="5"/>
    </row>
    <row r="89" spans="3:3">
      <c r="C89" s="5"/>
    </row>
    <row r="90" spans="3:3">
      <c r="C90" s="5"/>
    </row>
    <row r="91" spans="3:3">
      <c r="C91" s="5"/>
    </row>
    <row r="92" spans="3:3">
      <c r="C92" s="5"/>
    </row>
    <row r="93" spans="3:3">
      <c r="C93" s="5"/>
    </row>
    <row r="94" spans="3:3">
      <c r="C94" s="5"/>
    </row>
    <row r="95" spans="3:3">
      <c r="C95" s="5"/>
    </row>
    <row r="96" spans="3:3">
      <c r="C96" s="5"/>
    </row>
    <row r="97" spans="3:3">
      <c r="C97" s="5"/>
    </row>
    <row r="98" spans="3:3">
      <c r="C98" s="5"/>
    </row>
    <row r="99" spans="3:3">
      <c r="C99" s="5"/>
    </row>
    <row r="100" spans="3:3">
      <c r="C100" s="5"/>
    </row>
    <row r="101" spans="3:3">
      <c r="C101" s="5"/>
    </row>
    <row r="102" spans="3:3">
      <c r="C102" s="5"/>
    </row>
    <row r="103" spans="3:3">
      <c r="C103" s="5"/>
    </row>
    <row r="104" spans="3:3">
      <c r="C104" s="5"/>
    </row>
    <row r="105" spans="3:3">
      <c r="C105" s="5"/>
    </row>
    <row r="106" spans="3:3">
      <c r="C106" s="5"/>
    </row>
    <row r="107" spans="3:3">
      <c r="C107" s="5"/>
    </row>
    <row r="108" spans="3:3">
      <c r="C108" s="5"/>
    </row>
    <row r="109" spans="3:3">
      <c r="C109" s="5"/>
    </row>
    <row r="110" spans="3:3">
      <c r="C110" s="5"/>
    </row>
    <row r="111" spans="3:3">
      <c r="C111" s="5"/>
    </row>
    <row r="112" spans="3:3">
      <c r="C112" s="5"/>
    </row>
    <row r="113" spans="3:3">
      <c r="C113" s="5"/>
    </row>
    <row r="114" spans="3:3">
      <c r="C114" s="5"/>
    </row>
    <row r="115" spans="3:3">
      <c r="C115" s="5"/>
    </row>
    <row r="116" spans="3:3">
      <c r="C116" s="5"/>
    </row>
    <row r="117" spans="3:3">
      <c r="C117" s="5"/>
    </row>
    <row r="118" spans="3:3">
      <c r="C118" s="5"/>
    </row>
    <row r="119" spans="3:3">
      <c r="C119" s="5"/>
    </row>
    <row r="120" spans="3:3">
      <c r="C120" s="5"/>
    </row>
    <row r="121" spans="3:3">
      <c r="C121" s="5"/>
    </row>
    <row r="122" spans="3:3">
      <c r="C122" s="5"/>
    </row>
    <row r="123" spans="3:3">
      <c r="C123" s="5"/>
    </row>
    <row r="124" spans="3:3">
      <c r="C124" s="5"/>
    </row>
    <row r="125" spans="3:3">
      <c r="C125" s="5"/>
    </row>
    <row r="126" spans="3:3">
      <c r="C126" s="5"/>
    </row>
    <row r="127" spans="3:3">
      <c r="C127" s="5"/>
    </row>
    <row r="128" spans="3:3">
      <c r="C128" s="5"/>
    </row>
    <row r="129" spans="3:3">
      <c r="C129" s="5"/>
    </row>
    <row r="130" spans="3:3">
      <c r="C130" s="5"/>
    </row>
    <row r="131" spans="3:3">
      <c r="C131" s="5"/>
    </row>
    <row r="132" spans="3:3">
      <c r="C132" s="5"/>
    </row>
    <row r="133" spans="3:3">
      <c r="C133" s="5"/>
    </row>
    <row r="134" spans="3:3">
      <c r="C134" s="5"/>
    </row>
    <row r="135" spans="3:3">
      <c r="C135" s="5"/>
    </row>
    <row r="136" spans="3:3">
      <c r="C136" s="5"/>
    </row>
    <row r="137" spans="3:3">
      <c r="C137" s="5"/>
    </row>
    <row r="138" spans="3:3">
      <c r="C138" s="5"/>
    </row>
    <row r="139" spans="3:3">
      <c r="C139" s="5"/>
    </row>
    <row r="140" spans="3:3">
      <c r="C140" s="5"/>
    </row>
    <row r="141" spans="3:3">
      <c r="C141" s="5"/>
    </row>
    <row r="142" spans="3:3">
      <c r="C142" s="5"/>
    </row>
    <row r="143" spans="3:3">
      <c r="C143" s="5"/>
    </row>
    <row r="144" spans="3:3">
      <c r="C144" s="5"/>
    </row>
    <row r="145" spans="3:3">
      <c r="C145" s="5"/>
    </row>
    <row r="146" spans="3:3">
      <c r="C146" s="5"/>
    </row>
    <row r="147" spans="3:3">
      <c r="C147" s="5"/>
    </row>
    <row r="148" spans="3:3">
      <c r="C148" s="5"/>
    </row>
    <row r="149" spans="3:3">
      <c r="C149" s="5"/>
    </row>
    <row r="150" spans="3:3">
      <c r="C150" s="5"/>
    </row>
    <row r="151" spans="3:3">
      <c r="C151" s="5"/>
    </row>
    <row r="152" spans="3:3">
      <c r="C152" s="5"/>
    </row>
    <row r="153" spans="3:3">
      <c r="C153" s="5"/>
    </row>
    <row r="154" spans="3:3">
      <c r="C154" s="5"/>
    </row>
    <row r="155" spans="3:3">
      <c r="C155" s="5"/>
    </row>
    <row r="156" spans="3:3">
      <c r="C156" s="5"/>
    </row>
    <row r="157" spans="3:3">
      <c r="C157" s="5"/>
    </row>
    <row r="158" spans="3:3">
      <c r="C158" s="5"/>
    </row>
    <row r="159" spans="3:3">
      <c r="C159" s="5"/>
    </row>
    <row r="160" spans="3:3">
      <c r="C160" s="5"/>
    </row>
    <row r="161" spans="3:3">
      <c r="C161" s="5"/>
    </row>
    <row r="162" spans="3:3">
      <c r="C162" s="5"/>
    </row>
    <row r="163" spans="3:3">
      <c r="C163" s="5"/>
    </row>
    <row r="164" spans="3:3">
      <c r="C164" s="5"/>
    </row>
    <row r="165" spans="3:3">
      <c r="C165" s="5"/>
    </row>
    <row r="166" spans="3:3">
      <c r="C166" s="5"/>
    </row>
    <row r="167" spans="3:3">
      <c r="C167" s="5"/>
    </row>
    <row r="168" spans="3:3">
      <c r="C168" s="5"/>
    </row>
    <row r="169" spans="3:3">
      <c r="C169" s="5"/>
    </row>
    <row r="170" spans="3:3">
      <c r="C170" s="5"/>
    </row>
    <row r="171" spans="3:3">
      <c r="C171" s="5"/>
    </row>
    <row r="172" spans="3:3">
      <c r="C172" s="5"/>
    </row>
    <row r="173" spans="3:3">
      <c r="C173" s="5"/>
    </row>
    <row r="174" spans="3:3">
      <c r="C174" s="5"/>
    </row>
    <row r="175" spans="3:3">
      <c r="C175" s="5"/>
    </row>
    <row r="176" spans="3:3">
      <c r="C176" s="5"/>
    </row>
    <row r="177" spans="3:3">
      <c r="C177" s="5"/>
    </row>
    <row r="178" spans="3:3">
      <c r="C178" s="5"/>
    </row>
    <row r="179" spans="3:3">
      <c r="C179" s="5"/>
    </row>
    <row r="180" spans="3:3">
      <c r="C180" s="5"/>
    </row>
    <row r="181" spans="3:3">
      <c r="C181" s="5"/>
    </row>
    <row r="182" spans="3:3">
      <c r="C182" s="5"/>
    </row>
    <row r="183" spans="3:3">
      <c r="C183" s="5"/>
    </row>
    <row r="184" spans="3:3">
      <c r="C184" s="5"/>
    </row>
    <row r="185" spans="3:3">
      <c r="C185" s="5"/>
    </row>
    <row r="186" spans="3:3">
      <c r="C186" s="5"/>
    </row>
    <row r="187" spans="3:3">
      <c r="C187" s="5"/>
    </row>
    <row r="188" spans="3:3">
      <c r="C188" s="5"/>
    </row>
    <row r="189" spans="3:3">
      <c r="C189" s="5"/>
    </row>
    <row r="190" spans="3:3">
      <c r="C190" s="5"/>
    </row>
    <row r="191" spans="3:3">
      <c r="C191" s="5"/>
    </row>
    <row r="192" spans="3:3">
      <c r="C192" s="5"/>
    </row>
    <row r="193" spans="3:3">
      <c r="C193" s="5"/>
    </row>
    <row r="194" spans="3:3">
      <c r="C194" s="5"/>
    </row>
    <row r="195" spans="3:3">
      <c r="C195" s="5"/>
    </row>
    <row r="196" spans="3:3">
      <c r="C196" s="5"/>
    </row>
    <row r="197" spans="3:3">
      <c r="C197" s="5"/>
    </row>
    <row r="198" spans="3:3">
      <c r="C198" s="5"/>
    </row>
    <row r="199" spans="3:3">
      <c r="C199" s="5"/>
    </row>
    <row r="200" spans="3:3">
      <c r="C200" s="5"/>
    </row>
    <row r="201" spans="3:3">
      <c r="C201" s="5"/>
    </row>
    <row r="202" spans="3:3">
      <c r="C202" s="5"/>
    </row>
    <row r="203" spans="3:3">
      <c r="C203" s="5"/>
    </row>
    <row r="204" spans="3:3">
      <c r="C204" s="5"/>
    </row>
    <row r="205" spans="3:3">
      <c r="C205" s="5"/>
    </row>
    <row r="206" spans="3:3">
      <c r="C206" s="5"/>
    </row>
    <row r="207" spans="3:3">
      <c r="C207" s="5"/>
    </row>
    <row r="208" spans="3:3">
      <c r="C208" s="5"/>
    </row>
    <row r="209" spans="3:3">
      <c r="C209" s="5"/>
    </row>
    <row r="210" spans="3:3">
      <c r="C210" s="5"/>
    </row>
    <row r="211" spans="3:3">
      <c r="C211" s="5"/>
    </row>
    <row r="212" spans="3:3">
      <c r="C212" s="5"/>
    </row>
    <row r="213" spans="3:3">
      <c r="C213" s="5"/>
    </row>
    <row r="214" spans="3:3">
      <c r="C214" s="5"/>
    </row>
    <row r="215" spans="3:3">
      <c r="C215" s="5"/>
    </row>
    <row r="216" spans="3:3">
      <c r="C216" s="5"/>
    </row>
    <row r="217" spans="3:3">
      <c r="C217" s="5"/>
    </row>
    <row r="218" spans="3:3">
      <c r="C218" s="5"/>
    </row>
    <row r="219" spans="3:3">
      <c r="C219" s="5"/>
    </row>
    <row r="220" spans="3:3">
      <c r="C220" s="5"/>
    </row>
    <row r="221" spans="3:3">
      <c r="C221" s="5"/>
    </row>
    <row r="222" spans="3:3">
      <c r="C222" s="5"/>
    </row>
    <row r="223" spans="3:3">
      <c r="C223" s="5"/>
    </row>
    <row r="224" spans="3:3">
      <c r="C224" s="5"/>
    </row>
    <row r="225" spans="3:3">
      <c r="C225" s="5"/>
    </row>
    <row r="226" spans="3:3">
      <c r="C226" s="5"/>
    </row>
    <row r="227" spans="3:3">
      <c r="C227" s="5"/>
    </row>
    <row r="228" spans="3:3">
      <c r="C228" s="5"/>
    </row>
    <row r="229" spans="3:3">
      <c r="C229" s="5"/>
    </row>
    <row r="230" spans="3:3">
      <c r="C230" s="5"/>
    </row>
    <row r="231" spans="3:3">
      <c r="C231" s="5"/>
    </row>
    <row r="232" spans="3:3">
      <c r="C232" s="5"/>
    </row>
    <row r="233" spans="3:3">
      <c r="C233" s="5"/>
    </row>
    <row r="234" spans="3:3">
      <c r="C234" s="5"/>
    </row>
    <row r="235" spans="3:3">
      <c r="C235" s="5"/>
    </row>
    <row r="236" spans="3:3">
      <c r="C236" s="5"/>
    </row>
    <row r="237" spans="3:3">
      <c r="C237" s="5"/>
    </row>
    <row r="238" spans="3:3">
      <c r="C238" s="5"/>
    </row>
    <row r="239" spans="3:3">
      <c r="C239" s="5"/>
    </row>
    <row r="240" spans="3:3">
      <c r="C240" s="5"/>
    </row>
    <row r="241" spans="3:3">
      <c r="C241" s="5"/>
    </row>
    <row r="242" spans="3:3">
      <c r="C242" s="5"/>
    </row>
    <row r="243" spans="3:3">
      <c r="C243" s="5"/>
    </row>
    <row r="244" spans="3:3">
      <c r="C244" s="5"/>
    </row>
    <row r="245" spans="3:3">
      <c r="C245" s="5"/>
    </row>
    <row r="246" spans="3:3">
      <c r="C246" s="5"/>
    </row>
    <row r="247" spans="3:3">
      <c r="C247" s="5"/>
    </row>
    <row r="248" spans="3:3">
      <c r="C248" s="5"/>
    </row>
    <row r="249" spans="3:3">
      <c r="C249" s="5"/>
    </row>
    <row r="250" spans="3:3">
      <c r="C250" s="5"/>
    </row>
    <row r="251" spans="3:3">
      <c r="C251" s="5"/>
    </row>
    <row r="252" spans="3:3">
      <c r="C252" s="5"/>
    </row>
    <row r="253" spans="3:3">
      <c r="C253" s="5"/>
    </row>
    <row r="254" spans="3:3">
      <c r="C254" s="5"/>
    </row>
    <row r="255" spans="3:3">
      <c r="C255" s="5"/>
    </row>
    <row r="256" spans="3:3">
      <c r="C256" s="5"/>
    </row>
    <row r="257" spans="3:3">
      <c r="C257" s="5"/>
    </row>
    <row r="258" spans="3:3">
      <c r="C258" s="5"/>
    </row>
    <row r="259" spans="3:3">
      <c r="C259" s="5"/>
    </row>
    <row r="260" spans="3:3">
      <c r="C260" s="5"/>
    </row>
    <row r="261" spans="3:3">
      <c r="C261" s="5"/>
    </row>
    <row r="262" spans="3:3">
      <c r="C262" s="5"/>
    </row>
    <row r="263" spans="3:3">
      <c r="C263" s="5"/>
    </row>
    <row r="264" spans="3:3">
      <c r="C264" s="5"/>
    </row>
    <row r="265" spans="3:3">
      <c r="C265" s="5"/>
    </row>
    <row r="266" spans="3:3">
      <c r="C266" s="5"/>
    </row>
    <row r="267" spans="3:3">
      <c r="C267" s="5"/>
    </row>
    <row r="268" spans="3:3">
      <c r="C268" s="5"/>
    </row>
    <row r="269" spans="3:3">
      <c r="C269" s="5"/>
    </row>
    <row r="270" spans="3:3">
      <c r="C270" s="5"/>
    </row>
    <row r="271" spans="3:3">
      <c r="C271" s="5"/>
    </row>
    <row r="272" spans="3:3">
      <c r="C272" s="5"/>
    </row>
    <row r="273" spans="3:3">
      <c r="C273" s="5"/>
    </row>
    <row r="274" spans="3:3">
      <c r="C274" s="5"/>
    </row>
    <row r="275" spans="3:3">
      <c r="C275" s="5"/>
    </row>
    <row r="276" spans="3:3">
      <c r="C276" s="5"/>
    </row>
    <row r="277" spans="3:3">
      <c r="C277" s="5"/>
    </row>
    <row r="278" spans="3:3">
      <c r="C278" s="5"/>
    </row>
    <row r="279" spans="3:3">
      <c r="C279" s="5"/>
    </row>
    <row r="280" spans="3:3">
      <c r="C280" s="5"/>
    </row>
    <row r="281" spans="3:3">
      <c r="C281" s="5"/>
    </row>
    <row r="282" spans="3:3">
      <c r="C282" s="5"/>
    </row>
    <row r="283" spans="3:3">
      <c r="C283" s="5"/>
    </row>
    <row r="284" spans="3:3">
      <c r="C284" s="5"/>
    </row>
    <row r="285" spans="3:3">
      <c r="C285" s="5"/>
    </row>
    <row r="286" spans="3:3">
      <c r="C286" s="5"/>
    </row>
    <row r="287" spans="3:3">
      <c r="C287" s="5"/>
    </row>
    <row r="288" spans="3:3">
      <c r="C288" s="5"/>
    </row>
    <row r="289" spans="3:3">
      <c r="C289" s="5"/>
    </row>
    <row r="290" spans="3:3">
      <c r="C290" s="5"/>
    </row>
    <row r="291" spans="3:3">
      <c r="C291" s="5"/>
    </row>
    <row r="292" spans="3:3">
      <c r="C292" s="5"/>
    </row>
    <row r="293" spans="3:3">
      <c r="C293" s="5"/>
    </row>
    <row r="294" spans="3:3">
      <c r="C294" s="5"/>
    </row>
    <row r="295" spans="3:3">
      <c r="C295" s="5"/>
    </row>
    <row r="296" spans="3:3">
      <c r="C296" s="5"/>
    </row>
    <row r="297" spans="3:3">
      <c r="C297" s="5"/>
    </row>
    <row r="298" spans="3:3">
      <c r="C298" s="5"/>
    </row>
    <row r="299" spans="3:3">
      <c r="C299" s="5"/>
    </row>
    <row r="300" spans="3:3">
      <c r="C300" s="5"/>
    </row>
    <row r="301" spans="3:3">
      <c r="C301" s="5"/>
    </row>
    <row r="302" spans="3:3">
      <c r="C302" s="5"/>
    </row>
    <row r="303" spans="3:3">
      <c r="C303" s="5"/>
    </row>
    <row r="304" spans="3:3">
      <c r="C304" s="5"/>
    </row>
    <row r="305" spans="3:3">
      <c r="C305" s="5"/>
    </row>
    <row r="306" spans="3:3">
      <c r="C306" s="5"/>
    </row>
    <row r="307" spans="3:3">
      <c r="C307" s="5"/>
    </row>
    <row r="308" spans="3:3">
      <c r="C308" s="5"/>
    </row>
    <row r="309" spans="3:3">
      <c r="C309" s="5"/>
    </row>
    <row r="310" spans="3:3">
      <c r="C310" s="5"/>
    </row>
    <row r="311" spans="3:3">
      <c r="C311" s="5"/>
    </row>
    <row r="312" spans="3:3">
      <c r="C312" s="5"/>
    </row>
    <row r="313" spans="3:3">
      <c r="C313" s="5"/>
    </row>
    <row r="314" spans="3:3">
      <c r="C314" s="5"/>
    </row>
    <row r="315" spans="3:3">
      <c r="C315" s="5"/>
    </row>
    <row r="316" spans="3:3">
      <c r="C316" s="5"/>
    </row>
    <row r="317" spans="3:3">
      <c r="C317" s="5"/>
    </row>
    <row r="318" spans="3:3">
      <c r="C318" s="5"/>
    </row>
    <row r="319" spans="3:3">
      <c r="C319" s="5"/>
    </row>
    <row r="320" spans="3:3">
      <c r="C320" s="5"/>
    </row>
    <row r="321" spans="3:3">
      <c r="C321" s="5"/>
    </row>
    <row r="322" spans="3:3">
      <c r="C322" s="5"/>
    </row>
    <row r="323" spans="3:3">
      <c r="C323" s="5"/>
    </row>
    <row r="324" spans="3:3">
      <c r="C324" s="5"/>
    </row>
    <row r="325" spans="3:3">
      <c r="C325" s="5"/>
    </row>
    <row r="326" spans="3:3">
      <c r="C326" s="5"/>
    </row>
    <row r="327" spans="3:3">
      <c r="C327" s="5"/>
    </row>
  </sheetData>
  <mergeCells count="4">
    <mergeCell ref="A7:D7"/>
    <mergeCell ref="A4:I4"/>
    <mergeCell ref="A5:I5"/>
    <mergeCell ref="A6:I6"/>
  </mergeCells>
  <phoneticPr fontId="5" type="noConversion"/>
  <pageMargins left="0.75" right="0.75" top="1" bottom="1" header="0.5" footer="0.5"/>
  <pageSetup scale="72"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indexed="17"/>
    <pageSetUpPr fitToPage="1"/>
  </sheetPr>
  <dimension ref="A1:T345"/>
  <sheetViews>
    <sheetView zoomScale="70" zoomScaleNormal="70" workbookViewId="0">
      <selection activeCell="A4" sqref="A4:L4"/>
    </sheetView>
  </sheetViews>
  <sheetFormatPr defaultRowHeight="12.75"/>
  <cols>
    <col min="1" max="1" width="4.5703125" style="196" bestFit="1" customWidth="1"/>
    <col min="2" max="2" width="7.7109375" style="196" bestFit="1" customWidth="1"/>
    <col min="3" max="3" width="54.7109375" style="196" bestFit="1" customWidth="1"/>
    <col min="4" max="4" width="10.7109375" style="196" bestFit="1" customWidth="1"/>
    <col min="5" max="5" width="17.42578125" style="196" bestFit="1" customWidth="1"/>
    <col min="6" max="6" width="14.7109375" style="196" bestFit="1" customWidth="1"/>
    <col min="7" max="7" width="17.7109375" style="196" bestFit="1" customWidth="1"/>
    <col min="8" max="8" width="8.85546875" style="199" bestFit="1" customWidth="1"/>
    <col min="9" max="9" width="9" style="199" bestFit="1" customWidth="1"/>
    <col min="10" max="10" width="17.42578125" style="197" bestFit="1" customWidth="1"/>
    <col min="11" max="11" width="13.7109375" style="197" bestFit="1" customWidth="1"/>
    <col min="12" max="12" width="14.7109375" style="197" customWidth="1"/>
    <col min="13" max="13" width="9.140625" style="197"/>
    <col min="14" max="16384" width="9.140625" style="196"/>
  </cols>
  <sheetData>
    <row r="1" spans="1:20" s="188" customFormat="1">
      <c r="H1" s="429"/>
      <c r="I1" s="429"/>
      <c r="J1" s="189"/>
      <c r="K1" s="189"/>
      <c r="L1" s="189" t="str">
        <f>'H-2 P1'!I1</f>
        <v>Docket No. RP11-1823-000</v>
      </c>
      <c r="M1" s="189"/>
    </row>
    <row r="2" spans="1:20" s="188" customFormat="1">
      <c r="H2" s="429"/>
      <c r="I2" s="429"/>
      <c r="J2" s="189"/>
      <c r="K2" s="189"/>
      <c r="L2" s="189" t="s">
        <v>287</v>
      </c>
      <c r="M2" s="189"/>
    </row>
    <row r="3" spans="1:20" s="188" customFormat="1">
      <c r="H3" s="429"/>
      <c r="I3" s="429"/>
      <c r="J3" s="189"/>
      <c r="K3" s="189"/>
      <c r="L3" s="189" t="s">
        <v>251</v>
      </c>
      <c r="M3" s="189"/>
    </row>
    <row r="4" spans="1:20" s="188" customFormat="1">
      <c r="A4" s="933" t="s">
        <v>658</v>
      </c>
      <c r="B4" s="932"/>
      <c r="C4" s="932"/>
      <c r="D4" s="932"/>
      <c r="E4" s="932"/>
      <c r="F4" s="932"/>
      <c r="G4" s="932"/>
      <c r="H4" s="932"/>
      <c r="I4" s="932"/>
      <c r="J4" s="932"/>
      <c r="K4" s="932"/>
      <c r="L4" s="932"/>
      <c r="M4" s="189"/>
    </row>
    <row r="5" spans="1:20" s="188" customFormat="1">
      <c r="A5" s="932" t="s">
        <v>59</v>
      </c>
      <c r="B5" s="932"/>
      <c r="C5" s="932"/>
      <c r="D5" s="932"/>
      <c r="E5" s="932"/>
      <c r="F5" s="932"/>
      <c r="G5" s="932"/>
      <c r="H5" s="932"/>
      <c r="I5" s="932"/>
      <c r="J5" s="932"/>
      <c r="K5" s="932"/>
      <c r="L5" s="932"/>
      <c r="M5" s="189"/>
    </row>
    <row r="6" spans="1:20" s="188" customFormat="1">
      <c r="A6" s="933" t="s">
        <v>60</v>
      </c>
      <c r="B6" s="933"/>
      <c r="C6" s="933"/>
      <c r="D6" s="933"/>
      <c r="E6" s="933"/>
      <c r="F6" s="933"/>
      <c r="G6" s="933"/>
      <c r="H6" s="933"/>
      <c r="I6" s="933"/>
      <c r="J6" s="933"/>
      <c r="K6" s="933"/>
      <c r="L6" s="933"/>
      <c r="M6" s="189"/>
    </row>
    <row r="7" spans="1:20" s="188" customFormat="1">
      <c r="A7" s="933" t="str">
        <f>'Title Input and Macros'!B9</f>
        <v>For the Twelve Months Ended December 31, 2015, As Adjusted</v>
      </c>
      <c r="B7" s="933"/>
      <c r="C7" s="933"/>
      <c r="D7" s="933"/>
      <c r="E7" s="933"/>
      <c r="F7" s="933"/>
      <c r="G7" s="933"/>
      <c r="H7" s="933"/>
      <c r="I7" s="933"/>
      <c r="J7" s="933"/>
      <c r="K7" s="933"/>
      <c r="L7" s="933"/>
      <c r="M7" s="189"/>
    </row>
    <row r="8" spans="1:20" s="188" customFormat="1">
      <c r="A8" s="190"/>
      <c r="B8" s="190"/>
      <c r="C8" s="190"/>
      <c r="D8" s="190"/>
      <c r="F8" s="187"/>
      <c r="H8" s="429"/>
      <c r="I8" s="429"/>
      <c r="J8" s="189"/>
      <c r="K8" s="353"/>
      <c r="L8" s="102"/>
      <c r="M8" s="189"/>
    </row>
    <row r="9" spans="1:20" s="188" customFormat="1">
      <c r="A9" s="190"/>
      <c r="B9" s="190"/>
      <c r="C9" s="190"/>
      <c r="D9" s="190"/>
      <c r="F9" s="187"/>
      <c r="H9" s="429"/>
      <c r="I9" s="429"/>
      <c r="J9" s="189"/>
      <c r="K9" s="353"/>
      <c r="L9" s="102"/>
      <c r="M9" s="189"/>
    </row>
    <row r="10" spans="1:20" s="187" customFormat="1">
      <c r="A10" s="94"/>
      <c r="B10" s="94"/>
      <c r="C10" s="94"/>
      <c r="D10" s="94"/>
      <c r="E10" s="191" t="s">
        <v>64</v>
      </c>
      <c r="F10" s="191"/>
      <c r="G10" s="191"/>
      <c r="H10" s="192" t="s">
        <v>311</v>
      </c>
      <c r="I10" s="192" t="s">
        <v>311</v>
      </c>
      <c r="J10" s="193" t="s">
        <v>506</v>
      </c>
      <c r="K10" s="459"/>
      <c r="M10" s="194"/>
    </row>
    <row r="11" spans="1:20" s="188" customFormat="1">
      <c r="A11" s="94" t="s">
        <v>352</v>
      </c>
      <c r="B11" s="94" t="s">
        <v>291</v>
      </c>
      <c r="C11" s="94"/>
      <c r="D11" s="191" t="s">
        <v>58</v>
      </c>
      <c r="E11" s="94" t="s">
        <v>65</v>
      </c>
      <c r="F11" s="94" t="s">
        <v>291</v>
      </c>
      <c r="G11" s="506" t="s">
        <v>357</v>
      </c>
      <c r="H11" s="192" t="s">
        <v>430</v>
      </c>
      <c r="I11" s="192" t="s">
        <v>430</v>
      </c>
      <c r="J11" s="193" t="s">
        <v>507</v>
      </c>
      <c r="K11" s="358"/>
      <c r="L11" s="94" t="s">
        <v>613</v>
      </c>
      <c r="M11" s="189"/>
    </row>
    <row r="12" spans="1:20" s="195" customFormat="1">
      <c r="A12" s="89" t="s">
        <v>353</v>
      </c>
      <c r="B12" s="89" t="s">
        <v>61</v>
      </c>
      <c r="C12" s="89" t="s">
        <v>62</v>
      </c>
      <c r="D12" s="430" t="s">
        <v>63</v>
      </c>
      <c r="E12" s="91">
        <f>'Title Input and Macros'!B12</f>
        <v>42369</v>
      </c>
      <c r="F12" s="430" t="s">
        <v>401</v>
      </c>
      <c r="G12" s="91">
        <v>42551</v>
      </c>
      <c r="H12" s="431" t="s">
        <v>66</v>
      </c>
      <c r="I12" s="431" t="s">
        <v>292</v>
      </c>
      <c r="J12" s="432">
        <f>E12</f>
        <v>42369</v>
      </c>
      <c r="K12" s="467" t="s">
        <v>206</v>
      </c>
      <c r="L12" s="430" t="s">
        <v>357</v>
      </c>
      <c r="M12" s="189"/>
      <c r="N12" s="188"/>
      <c r="O12" s="188"/>
      <c r="P12" s="188"/>
      <c r="Q12" s="188"/>
      <c r="R12" s="188"/>
      <c r="S12" s="188"/>
      <c r="T12" s="188"/>
    </row>
    <row r="13" spans="1:20" s="195" customFormat="1">
      <c r="A13" s="178"/>
      <c r="B13" s="102" t="s">
        <v>361</v>
      </c>
      <c r="C13" s="102" t="s">
        <v>362</v>
      </c>
      <c r="D13" s="94" t="s">
        <v>366</v>
      </c>
      <c r="E13" s="94" t="s">
        <v>363</v>
      </c>
      <c r="F13" s="94" t="s">
        <v>364</v>
      </c>
      <c r="G13" s="94" t="s">
        <v>379</v>
      </c>
      <c r="H13" s="192" t="s">
        <v>380</v>
      </c>
      <c r="I13" s="433" t="s">
        <v>403</v>
      </c>
      <c r="J13" s="193" t="s">
        <v>404</v>
      </c>
      <c r="K13" s="459" t="s">
        <v>351</v>
      </c>
      <c r="L13" s="459" t="s">
        <v>250</v>
      </c>
      <c r="M13" s="189"/>
      <c r="N13" s="188"/>
      <c r="O13" s="188"/>
      <c r="P13" s="188"/>
      <c r="Q13" s="188"/>
      <c r="R13" s="188"/>
      <c r="S13" s="188"/>
      <c r="T13" s="188"/>
    </row>
    <row r="14" spans="1:20" s="195" customFormat="1">
      <c r="A14" s="178"/>
      <c r="B14" s="102"/>
      <c r="C14" s="102"/>
      <c r="D14" s="94"/>
      <c r="E14" s="94" t="s">
        <v>365</v>
      </c>
      <c r="F14" s="94" t="s">
        <v>365</v>
      </c>
      <c r="G14" s="94" t="s">
        <v>365</v>
      </c>
      <c r="H14" s="192" t="s">
        <v>42</v>
      </c>
      <c r="I14" s="433" t="s">
        <v>42</v>
      </c>
      <c r="J14" s="193" t="s">
        <v>365</v>
      </c>
      <c r="K14" s="459" t="s">
        <v>365</v>
      </c>
      <c r="L14" s="459" t="s">
        <v>365</v>
      </c>
      <c r="M14" s="189"/>
      <c r="N14" s="188"/>
      <c r="O14" s="188"/>
      <c r="P14" s="188"/>
      <c r="Q14" s="188"/>
      <c r="R14" s="188"/>
      <c r="S14" s="188"/>
      <c r="T14" s="188"/>
    </row>
    <row r="15" spans="1:20" s="195" customFormat="1">
      <c r="A15" s="178"/>
      <c r="B15" s="178"/>
      <c r="C15" s="434" t="s">
        <v>550</v>
      </c>
      <c r="D15" s="94"/>
      <c r="E15" s="188"/>
      <c r="F15" s="188"/>
      <c r="G15" s="188"/>
      <c r="H15" s="188"/>
      <c r="I15" s="188"/>
      <c r="J15" s="188"/>
      <c r="K15" s="139"/>
      <c r="L15" s="139"/>
      <c r="M15" s="189"/>
      <c r="N15" s="188"/>
      <c r="O15" s="188"/>
      <c r="P15" s="188"/>
      <c r="Q15" s="188"/>
      <c r="R15" s="188"/>
      <c r="S15" s="188"/>
      <c r="T15" s="188"/>
    </row>
    <row r="16" spans="1:20" s="195" customFormat="1">
      <c r="A16" s="178">
        <v>1</v>
      </c>
      <c r="B16" s="435">
        <v>365.1</v>
      </c>
      <c r="C16" s="178" t="s">
        <v>704</v>
      </c>
      <c r="D16" s="163"/>
      <c r="E16" s="114">
        <f>'Sched C-1'!D21</f>
        <v>437631.61</v>
      </c>
      <c r="F16" s="114">
        <f>'Sched C-1'!E21+'Sched C-1'!F21</f>
        <v>0</v>
      </c>
      <c r="G16" s="114">
        <f>E16+F16</f>
        <v>437631.61</v>
      </c>
      <c r="H16" s="385">
        <f>'Sched D-1'!$D$13</f>
        <v>1.2999999999999999E-2</v>
      </c>
      <c r="I16" s="385">
        <f>'Sched D-1'!$E$13</f>
        <v>2.06E-2</v>
      </c>
      <c r="J16" s="503">
        <v>5689.2</v>
      </c>
      <c r="K16" s="458">
        <f>L16-J16</f>
        <v>3326.0111659999993</v>
      </c>
      <c r="L16" s="458">
        <f>G16*I16</f>
        <v>9015.2111659999991</v>
      </c>
      <c r="M16" s="436"/>
      <c r="N16" s="437"/>
      <c r="O16" s="437"/>
      <c r="P16" s="437"/>
      <c r="Q16" s="437"/>
      <c r="R16" s="437"/>
      <c r="S16" s="437"/>
      <c r="T16" s="437"/>
    </row>
    <row r="17" spans="1:20" s="195" customFormat="1">
      <c r="A17" s="178">
        <v>2</v>
      </c>
      <c r="B17" s="435">
        <v>365.2</v>
      </c>
      <c r="C17" s="178" t="s">
        <v>328</v>
      </c>
      <c r="D17" s="163"/>
      <c r="E17" s="114">
        <f>'Sched C-1'!D22</f>
        <v>3872858.17</v>
      </c>
      <c r="F17" s="114">
        <f>'Sched C-1'!E22+'Sched C-1'!F22</f>
        <v>0</v>
      </c>
      <c r="G17" s="114">
        <f t="shared" ref="G17:G25" si="0">E17+F17</f>
        <v>3872858.17</v>
      </c>
      <c r="H17" s="385">
        <f>'Sched D-1'!$D$13</f>
        <v>1.2999999999999999E-2</v>
      </c>
      <c r="I17" s="385">
        <f>'Sched D-1'!$E$13</f>
        <v>2.06E-2</v>
      </c>
      <c r="J17" s="503">
        <v>50347.199999999997</v>
      </c>
      <c r="K17" s="458">
        <f t="shared" ref="K17:K24" si="1">L17-J17</f>
        <v>29433.678302</v>
      </c>
      <c r="L17" s="458">
        <f t="shared" ref="L17:L23" si="2">G17*I17</f>
        <v>79780.878301999997</v>
      </c>
      <c r="M17" s="436"/>
      <c r="N17" s="437"/>
      <c r="O17" s="437"/>
      <c r="P17" s="437"/>
      <c r="Q17" s="437"/>
      <c r="R17" s="437"/>
      <c r="S17" s="437"/>
      <c r="T17" s="437"/>
    </row>
    <row r="18" spans="1:20" s="195" customFormat="1">
      <c r="A18" s="178">
        <v>3</v>
      </c>
      <c r="B18" s="435">
        <v>366</v>
      </c>
      <c r="C18" s="178" t="s">
        <v>322</v>
      </c>
      <c r="D18" s="163"/>
      <c r="E18" s="114">
        <f>'Sched C-1'!D23</f>
        <v>8941535.0500000007</v>
      </c>
      <c r="F18" s="114">
        <f>'Sched C-1'!E23+'Sched C-1'!F23</f>
        <v>0</v>
      </c>
      <c r="G18" s="114">
        <f t="shared" si="0"/>
        <v>8941535.0500000007</v>
      </c>
      <c r="H18" s="385">
        <f>'Sched D-1'!$D$13</f>
        <v>1.2999999999999999E-2</v>
      </c>
      <c r="I18" s="385">
        <f>'Sched D-1'!$E$13</f>
        <v>2.06E-2</v>
      </c>
      <c r="J18" s="504">
        <v>116239.92</v>
      </c>
      <c r="K18" s="458">
        <f t="shared" si="1"/>
        <v>67955.702030000029</v>
      </c>
      <c r="L18" s="458">
        <f t="shared" si="2"/>
        <v>184195.62203000003</v>
      </c>
      <c r="M18" s="436"/>
      <c r="N18" s="437"/>
      <c r="O18" s="437"/>
      <c r="P18" s="437"/>
      <c r="Q18" s="437"/>
      <c r="R18" s="437"/>
      <c r="S18" s="437"/>
      <c r="T18" s="437"/>
    </row>
    <row r="19" spans="1:20" s="195" customFormat="1">
      <c r="A19" s="178">
        <v>4</v>
      </c>
      <c r="B19" s="435">
        <v>367</v>
      </c>
      <c r="C19" s="178" t="s">
        <v>329</v>
      </c>
      <c r="D19" s="163"/>
      <c r="E19" s="114">
        <f>'Sched C-1'!D24</f>
        <v>148168809.87</v>
      </c>
      <c r="F19" s="114">
        <f>'Sched C-1'!E24+'Sched C-1'!F24</f>
        <v>55514.400000000001</v>
      </c>
      <c r="G19" s="114">
        <f t="shared" si="0"/>
        <v>148224324.27000001</v>
      </c>
      <c r="H19" s="385">
        <f>'Sched D-1'!$D$13</f>
        <v>1.2999999999999999E-2</v>
      </c>
      <c r="I19" s="385">
        <f>'Sched D-1'!$E$13</f>
        <v>2.06E-2</v>
      </c>
      <c r="J19" s="503">
        <v>1925355.26</v>
      </c>
      <c r="K19" s="458">
        <f t="shared" si="1"/>
        <v>1128065.8199620002</v>
      </c>
      <c r="L19" s="458">
        <f t="shared" si="2"/>
        <v>3053421.0799620003</v>
      </c>
      <c r="M19" s="436"/>
      <c r="N19" s="437"/>
      <c r="O19" s="437"/>
      <c r="P19" s="437"/>
      <c r="Q19" s="437"/>
      <c r="R19" s="437"/>
      <c r="S19" s="437"/>
      <c r="T19" s="437"/>
    </row>
    <row r="20" spans="1:20" s="195" customFormat="1">
      <c r="A20" s="178">
        <v>5</v>
      </c>
      <c r="B20" s="435">
        <v>368</v>
      </c>
      <c r="C20" s="178" t="s">
        <v>754</v>
      </c>
      <c r="D20" s="163"/>
      <c r="E20" s="358">
        <f>'Sched C-1'!D26</f>
        <v>15887832.43</v>
      </c>
      <c r="F20" s="114">
        <f>'Sched C-1'!E26+'Sched C-1'!F26</f>
        <v>13049.6</v>
      </c>
      <c r="G20" s="114">
        <f t="shared" si="0"/>
        <v>15900882.029999999</v>
      </c>
      <c r="H20" s="385">
        <f>'Sched D-1'!$D$14</f>
        <v>3.3799999999999997E-2</v>
      </c>
      <c r="I20" s="385">
        <f>'Sched D-1'!$E$14</f>
        <v>2.06E-2</v>
      </c>
      <c r="J20" s="504">
        <v>536931.4</v>
      </c>
      <c r="K20" s="458">
        <f>L20-J20</f>
        <v>-209373.23018200003</v>
      </c>
      <c r="L20" s="458">
        <f t="shared" si="2"/>
        <v>327558.16981799999</v>
      </c>
      <c r="M20" s="436"/>
      <c r="N20" s="437"/>
      <c r="O20" s="437"/>
      <c r="P20" s="437"/>
      <c r="Q20" s="437"/>
      <c r="R20" s="437"/>
      <c r="S20" s="437"/>
      <c r="T20" s="437"/>
    </row>
    <row r="21" spans="1:20" s="195" customFormat="1">
      <c r="A21" s="178">
        <v>6</v>
      </c>
      <c r="B21" s="435">
        <v>368.1</v>
      </c>
      <c r="C21" s="178" t="s">
        <v>753</v>
      </c>
      <c r="D21" s="163"/>
      <c r="E21" s="358">
        <f>'Sched C-1'!D27</f>
        <v>20905432.16</v>
      </c>
      <c r="F21" s="114">
        <f>'Sched C-1'!E27+'Sched C-1'!F27</f>
        <v>0</v>
      </c>
      <c r="G21" s="114">
        <f t="shared" si="0"/>
        <v>20905432.16</v>
      </c>
      <c r="H21" s="385">
        <f>'Sched D-1'!$D$15</f>
        <v>2.7709999999999999E-2</v>
      </c>
      <c r="I21" s="385">
        <f>'Sched D-1'!$E$15</f>
        <v>2.06E-2</v>
      </c>
      <c r="J21" s="504">
        <v>579289.56000000006</v>
      </c>
      <c r="K21" s="458">
        <f t="shared" si="1"/>
        <v>-148637.65750400006</v>
      </c>
      <c r="L21" s="458">
        <f t="shared" si="2"/>
        <v>430651.902496</v>
      </c>
      <c r="M21" s="436"/>
      <c r="N21" s="437"/>
      <c r="O21" s="437"/>
      <c r="P21" s="437"/>
      <c r="Q21" s="437"/>
      <c r="R21" s="437"/>
      <c r="S21" s="437"/>
      <c r="T21" s="437"/>
    </row>
    <row r="22" spans="1:20" s="195" customFormat="1">
      <c r="A22" s="178">
        <v>7</v>
      </c>
      <c r="B22" s="217">
        <v>369</v>
      </c>
      <c r="C22" s="171" t="s">
        <v>330</v>
      </c>
      <c r="D22" s="163"/>
      <c r="E22" s="114">
        <f>'Sched C-1'!D28</f>
        <v>3829016.54</v>
      </c>
      <c r="F22" s="114">
        <f>'Sched C-1'!E27+'Sched C-1'!F28</f>
        <v>-34.6</v>
      </c>
      <c r="G22" s="114">
        <f t="shared" si="0"/>
        <v>3828981.94</v>
      </c>
      <c r="H22" s="385">
        <f>'Sched D-1'!$D$13</f>
        <v>1.2999999999999999E-2</v>
      </c>
      <c r="I22" s="385">
        <f>'Sched D-1'!$E$13</f>
        <v>2.06E-2</v>
      </c>
      <c r="J22" s="503">
        <v>50139.92</v>
      </c>
      <c r="K22" s="458">
        <f t="shared" si="1"/>
        <v>28737.107963999995</v>
      </c>
      <c r="L22" s="458">
        <f t="shared" si="2"/>
        <v>78877.027963999994</v>
      </c>
      <c r="M22" s="436"/>
      <c r="N22" s="437"/>
      <c r="O22" s="437"/>
      <c r="P22" s="437"/>
      <c r="Q22" s="437"/>
      <c r="R22" s="437"/>
      <c r="S22" s="437"/>
      <c r="T22" s="437"/>
    </row>
    <row r="23" spans="1:20" s="195" customFormat="1">
      <c r="A23" s="178">
        <v>8</v>
      </c>
      <c r="B23" s="435">
        <v>370</v>
      </c>
      <c r="C23" s="178" t="s">
        <v>331</v>
      </c>
      <c r="D23" s="163"/>
      <c r="E23" s="114">
        <f>'Sched C-1'!D29</f>
        <v>1168860.97</v>
      </c>
      <c r="F23" s="114">
        <f>'Sched C-1'!E28+'Sched C-1'!F29</f>
        <v>173</v>
      </c>
      <c r="G23" s="114">
        <f t="shared" si="0"/>
        <v>1169033.97</v>
      </c>
      <c r="H23" s="385">
        <f>'Sched D-1'!$D$13</f>
        <v>1.2999999999999999E-2</v>
      </c>
      <c r="I23" s="385">
        <f>'Sched D-1'!$E$13</f>
        <v>2.06E-2</v>
      </c>
      <c r="J23" s="503">
        <v>15195.24</v>
      </c>
      <c r="K23" s="458">
        <f t="shared" si="1"/>
        <v>8886.8597820000014</v>
      </c>
      <c r="L23" s="458">
        <f t="shared" si="2"/>
        <v>24082.099782000001</v>
      </c>
      <c r="M23" s="436"/>
      <c r="N23" s="437"/>
      <c r="O23" s="437"/>
      <c r="P23" s="437"/>
      <c r="Q23" s="437"/>
      <c r="R23" s="437"/>
      <c r="S23" s="437"/>
      <c r="T23" s="437"/>
    </row>
    <row r="24" spans="1:20" s="195" customFormat="1">
      <c r="A24" s="178">
        <v>9</v>
      </c>
      <c r="B24" s="435">
        <v>370.1</v>
      </c>
      <c r="C24" s="178" t="s">
        <v>719</v>
      </c>
      <c r="D24" s="163"/>
      <c r="E24" s="114">
        <f>'Sched C-1'!D30</f>
        <v>20638.59</v>
      </c>
      <c r="F24" s="114">
        <f>'Sched C-1'!E29+'Sched C-1'!F30</f>
        <v>0</v>
      </c>
      <c r="G24" s="114">
        <f t="shared" si="0"/>
        <v>20638.59</v>
      </c>
      <c r="H24" s="385">
        <f>'Sched D-1'!$D$16</f>
        <v>0.1</v>
      </c>
      <c r="I24" s="385">
        <f>'Sched D-1'!$E$16</f>
        <v>2.06E-2</v>
      </c>
      <c r="J24" s="505">
        <v>0</v>
      </c>
      <c r="K24" s="458">
        <f t="shared" si="1"/>
        <v>0</v>
      </c>
      <c r="L24" s="458">
        <v>0</v>
      </c>
      <c r="M24" s="436"/>
      <c r="N24" s="437"/>
      <c r="O24" s="437"/>
      <c r="P24" s="437"/>
      <c r="Q24" s="437"/>
      <c r="R24" s="437"/>
      <c r="S24" s="437"/>
      <c r="T24" s="437"/>
    </row>
    <row r="25" spans="1:20" s="195" customFormat="1">
      <c r="A25" s="178">
        <v>10</v>
      </c>
      <c r="B25" s="435"/>
      <c r="C25" s="395" t="s">
        <v>599</v>
      </c>
      <c r="D25" s="119"/>
      <c r="E25" s="114">
        <v>0</v>
      </c>
      <c r="F25" s="114">
        <v>0</v>
      </c>
      <c r="G25" s="114">
        <f t="shared" si="0"/>
        <v>0</v>
      </c>
      <c r="H25" s="385">
        <f>'Sched D-1'!$D$17</f>
        <v>1.8E-3</v>
      </c>
      <c r="I25" s="385">
        <f>'Sched D-1'!$E$17</f>
        <v>7.3000000000000001E-3</v>
      </c>
      <c r="J25" s="502">
        <v>365704.58</v>
      </c>
      <c r="K25" s="458">
        <f>L25-J25</f>
        <v>1118395.0398670002</v>
      </c>
      <c r="L25" s="458">
        <f>G26*I25</f>
        <v>1484099.6198670003</v>
      </c>
      <c r="M25" s="436"/>
      <c r="N25" s="437"/>
      <c r="O25" s="437"/>
      <c r="P25" s="437"/>
      <c r="Q25" s="437"/>
      <c r="R25" s="437"/>
      <c r="S25" s="437"/>
      <c r="T25" s="437"/>
    </row>
    <row r="26" spans="1:20" s="195" customFormat="1">
      <c r="A26" s="178">
        <v>11</v>
      </c>
      <c r="B26" s="178"/>
      <c r="C26" s="439" t="s">
        <v>551</v>
      </c>
      <c r="D26" s="119"/>
      <c r="E26" s="440">
        <f>SUM(E16:E25)</f>
        <v>203232615.39000002</v>
      </c>
      <c r="F26" s="440">
        <f>SUM(F16:F25)</f>
        <v>68702.399999999994</v>
      </c>
      <c r="G26" s="440">
        <f>SUM(G16:G25)</f>
        <v>203301317.79000002</v>
      </c>
      <c r="H26" s="285"/>
      <c r="I26" s="387"/>
      <c r="J26" s="440">
        <f>SUM(J16:J25)</f>
        <v>3644892.2800000003</v>
      </c>
      <c r="K26" s="460">
        <f>SUM(K16:K25)</f>
        <v>2026789.3313870006</v>
      </c>
      <c r="L26" s="460">
        <f>SUM(L16:L25)</f>
        <v>5671681.6113870004</v>
      </c>
      <c r="M26" s="461"/>
      <c r="N26" s="437"/>
      <c r="O26" s="437"/>
      <c r="P26" s="437"/>
      <c r="Q26" s="437"/>
      <c r="R26" s="437"/>
      <c r="S26" s="437"/>
      <c r="T26" s="437"/>
    </row>
    <row r="27" spans="1:20" s="195" customFormat="1">
      <c r="A27" s="178"/>
      <c r="B27" s="178"/>
      <c r="C27" s="178"/>
      <c r="D27" s="94"/>
      <c r="E27" s="193"/>
      <c r="F27" s="193"/>
      <c r="G27" s="193"/>
      <c r="H27" s="285"/>
      <c r="I27" s="387"/>
      <c r="J27" s="193"/>
      <c r="K27" s="459"/>
      <c r="L27" s="459"/>
      <c r="M27" s="461"/>
      <c r="N27" s="437"/>
      <c r="O27" s="437"/>
      <c r="P27" s="437"/>
      <c r="Q27" s="437"/>
      <c r="R27" s="437"/>
      <c r="S27" s="437"/>
      <c r="T27" s="437"/>
    </row>
    <row r="28" spans="1:20" s="195" customFormat="1">
      <c r="A28" s="178"/>
      <c r="B28" s="435"/>
      <c r="C28" s="178"/>
      <c r="D28" s="104"/>
      <c r="E28" s="114"/>
      <c r="F28" s="114"/>
      <c r="G28" s="388"/>
      <c r="H28" s="286"/>
      <c r="I28" s="387"/>
      <c r="J28" s="114"/>
      <c r="K28" s="358"/>
      <c r="L28" s="409"/>
      <c r="M28" s="461"/>
      <c r="N28" s="437"/>
      <c r="O28" s="437"/>
      <c r="P28" s="437"/>
      <c r="Q28" s="437"/>
      <c r="R28" s="437"/>
      <c r="S28" s="437"/>
      <c r="T28" s="437"/>
    </row>
    <row r="29" spans="1:20" s="195" customFormat="1">
      <c r="A29" s="178" t="s">
        <v>579</v>
      </c>
      <c r="B29" s="435"/>
      <c r="C29" s="434" t="s">
        <v>552</v>
      </c>
      <c r="D29" s="104"/>
      <c r="E29" s="114"/>
      <c r="F29" s="114"/>
      <c r="G29" s="388"/>
      <c r="H29" s="286"/>
      <c r="I29" s="387"/>
      <c r="J29" s="114"/>
      <c r="K29" s="358"/>
      <c r="L29" s="409"/>
      <c r="M29" s="461"/>
      <c r="N29" s="437"/>
      <c r="O29" s="437"/>
      <c r="P29" s="437"/>
      <c r="Q29" s="437"/>
      <c r="R29" s="437"/>
      <c r="S29" s="437"/>
      <c r="T29" s="437"/>
    </row>
    <row r="30" spans="1:20" s="195" customFormat="1">
      <c r="A30" s="178">
        <v>12</v>
      </c>
      <c r="B30" s="441">
        <v>390</v>
      </c>
      <c r="C30" s="178" t="s">
        <v>720</v>
      </c>
      <c r="D30" s="104"/>
      <c r="E30" s="114">
        <f>'Sched C-1'!D34</f>
        <v>213194</v>
      </c>
      <c r="F30" s="114">
        <f>'Sched C-1'!E34+'Sched C-1'!F34</f>
        <v>0</v>
      </c>
      <c r="G30" s="114">
        <f t="shared" ref="G30:G36" si="3">E30+F30</f>
        <v>213194</v>
      </c>
      <c r="H30" s="385">
        <f>'Sched D-1'!$D$19</f>
        <v>0.1</v>
      </c>
      <c r="I30" s="385">
        <f>'Sched D-1'!$E$19</f>
        <v>2.5000000000000001E-2</v>
      </c>
      <c r="J30" s="438">
        <v>0</v>
      </c>
      <c r="K30" s="458">
        <f t="shared" ref="K30:K36" si="4">L30-J30</f>
        <v>0</v>
      </c>
      <c r="L30" s="458">
        <v>0</v>
      </c>
      <c r="M30" s="461"/>
      <c r="N30" s="437"/>
      <c r="O30" s="437"/>
      <c r="P30" s="437"/>
      <c r="Q30" s="437"/>
      <c r="R30" s="437"/>
      <c r="S30" s="437"/>
      <c r="T30" s="437"/>
    </row>
    <row r="31" spans="1:20" s="195" customFormat="1">
      <c r="A31" s="178">
        <v>13</v>
      </c>
      <c r="B31" s="441" t="s">
        <v>711</v>
      </c>
      <c r="C31" s="178" t="s">
        <v>332</v>
      </c>
      <c r="D31" s="104"/>
      <c r="E31" s="114">
        <f>'Sched C-1'!D35</f>
        <v>25875.61</v>
      </c>
      <c r="F31" s="114">
        <f>'Sched C-1'!E35+'Sched C-1'!F35</f>
        <v>0</v>
      </c>
      <c r="G31" s="114">
        <f t="shared" si="3"/>
        <v>25875.61</v>
      </c>
      <c r="H31" s="385">
        <f>'Sched D-1'!$D$20</f>
        <v>0.05</v>
      </c>
      <c r="I31" s="385">
        <f>'Sched D-1'!$E$20</f>
        <v>6.6699999999999995E-2</v>
      </c>
      <c r="J31" s="438">
        <v>2594.94</v>
      </c>
      <c r="K31" s="458">
        <f t="shared" si="4"/>
        <v>-869.03681300000017</v>
      </c>
      <c r="L31" s="458">
        <f t="shared" ref="L31:L36" si="5">G31*I31</f>
        <v>1725.9031869999999</v>
      </c>
      <c r="M31" s="461"/>
      <c r="N31" s="437"/>
      <c r="O31" s="437"/>
      <c r="P31" s="437"/>
      <c r="Q31" s="437"/>
      <c r="R31" s="437"/>
      <c r="S31" s="437"/>
      <c r="T31" s="437"/>
    </row>
    <row r="32" spans="1:20" s="195" customFormat="1">
      <c r="A32" s="178">
        <v>14</v>
      </c>
      <c r="B32" s="441">
        <v>391.1</v>
      </c>
      <c r="C32" s="178" t="s">
        <v>707</v>
      </c>
      <c r="D32" s="104"/>
      <c r="E32" s="114">
        <f>'Sched C-1'!D36</f>
        <v>87572.76</v>
      </c>
      <c r="F32" s="114">
        <f>'Sched C-1'!E36+'Sched C-1'!F36</f>
        <v>-83979.56</v>
      </c>
      <c r="G32" s="114">
        <f t="shared" si="3"/>
        <v>3593.1999999999971</v>
      </c>
      <c r="H32" s="385">
        <f>'Sched D-1'!$D$21</f>
        <v>0.2</v>
      </c>
      <c r="I32" s="385">
        <f>'Sched D-1'!$E$21</f>
        <v>0.2</v>
      </c>
      <c r="J32" s="438">
        <v>19267.71</v>
      </c>
      <c r="K32" s="458">
        <f t="shared" si="4"/>
        <v>-19267.71</v>
      </c>
      <c r="L32" s="458">
        <v>0</v>
      </c>
      <c r="M32" s="461"/>
      <c r="N32" s="437"/>
      <c r="O32" s="437"/>
      <c r="P32" s="437"/>
      <c r="Q32" s="437"/>
      <c r="R32" s="437"/>
      <c r="S32" s="437"/>
      <c r="T32" s="437"/>
    </row>
    <row r="33" spans="1:20" s="195" customFormat="1">
      <c r="A33" s="178">
        <v>15</v>
      </c>
      <c r="B33" s="441">
        <v>391.2</v>
      </c>
      <c r="C33" s="178" t="s">
        <v>721</v>
      </c>
      <c r="D33" s="178"/>
      <c r="E33" s="358">
        <f>'Sched C-1'!D37</f>
        <v>0</v>
      </c>
      <c r="F33" s="358">
        <f>'Sched C-1'!E37+'Sched C-1'!F37</f>
        <v>0</v>
      </c>
      <c r="G33" s="358">
        <f t="shared" si="3"/>
        <v>0</v>
      </c>
      <c r="H33" s="376">
        <f>'Sched D-1'!$D$22</f>
        <v>0.1</v>
      </c>
      <c r="I33" s="376">
        <f>'Sched D-1'!$E$22</f>
        <v>0</v>
      </c>
      <c r="J33" s="280">
        <v>0</v>
      </c>
      <c r="K33" s="458">
        <f t="shared" si="4"/>
        <v>0</v>
      </c>
      <c r="L33" s="458">
        <v>0</v>
      </c>
      <c r="M33" s="461"/>
      <c r="N33" s="437"/>
      <c r="O33" s="437"/>
      <c r="P33" s="437"/>
      <c r="Q33" s="437"/>
      <c r="R33" s="437"/>
      <c r="S33" s="437"/>
      <c r="T33" s="437"/>
    </row>
    <row r="34" spans="1:20" s="195" customFormat="1">
      <c r="A34" s="178">
        <v>16</v>
      </c>
      <c r="B34" s="441">
        <v>392</v>
      </c>
      <c r="C34" s="178" t="s">
        <v>722</v>
      </c>
      <c r="D34" s="104"/>
      <c r="E34" s="114">
        <f>'Sched C-1'!D38</f>
        <v>112057.69</v>
      </c>
      <c r="F34" s="114">
        <f>'Sched C-1'!E38+'Sched C-1'!F38</f>
        <v>-2942</v>
      </c>
      <c r="G34" s="114">
        <f t="shared" si="3"/>
        <v>109115.69</v>
      </c>
      <c r="H34" s="385">
        <f>'Sched D-1'!$D$23</f>
        <v>0.14285999999999999</v>
      </c>
      <c r="I34" s="385">
        <f>'Sched D-1'!$E$23</f>
        <v>0.1</v>
      </c>
      <c r="J34" s="438">
        <v>20974.48</v>
      </c>
      <c r="K34" s="458">
        <f t="shared" si="4"/>
        <v>-20974.48</v>
      </c>
      <c r="L34" s="458">
        <v>0</v>
      </c>
      <c r="M34" s="461"/>
      <c r="N34" s="437"/>
      <c r="O34" s="437"/>
      <c r="P34" s="437"/>
      <c r="Q34" s="437"/>
      <c r="R34" s="437"/>
      <c r="S34" s="437"/>
      <c r="T34" s="437"/>
    </row>
    <row r="35" spans="1:20" s="195" customFormat="1">
      <c r="A35" s="178">
        <v>17</v>
      </c>
      <c r="B35" s="441">
        <v>394</v>
      </c>
      <c r="C35" s="178" t="s">
        <v>335</v>
      </c>
      <c r="D35" s="104"/>
      <c r="E35" s="358">
        <f>'Sched C-1'!D40</f>
        <v>292130.81</v>
      </c>
      <c r="F35" s="114">
        <f>'Sched C-1'!E40+'Sched C-1'!F40</f>
        <v>6825</v>
      </c>
      <c r="G35" s="114">
        <f t="shared" si="3"/>
        <v>298955.81</v>
      </c>
      <c r="H35" s="385">
        <f>'Sched D-1'!$D$24</f>
        <v>3.3329999999999999E-2</v>
      </c>
      <c r="I35" s="385">
        <f>'Sched D-1'!$E$24</f>
        <v>6.6699999999999995E-2</v>
      </c>
      <c r="J35" s="438">
        <v>9491.2999999999993</v>
      </c>
      <c r="K35" s="458">
        <f t="shared" si="4"/>
        <v>10449.052527</v>
      </c>
      <c r="L35" s="458">
        <f t="shared" si="5"/>
        <v>19940.352526999999</v>
      </c>
      <c r="M35" s="461"/>
      <c r="N35" s="437"/>
      <c r="O35" s="437"/>
      <c r="P35" s="437"/>
      <c r="Q35" s="437"/>
      <c r="R35" s="437"/>
      <c r="S35" s="437"/>
      <c r="T35" s="437"/>
    </row>
    <row r="36" spans="1:20" s="195" customFormat="1">
      <c r="A36" s="178">
        <v>18</v>
      </c>
      <c r="B36" s="441">
        <v>397</v>
      </c>
      <c r="C36" s="178" t="s">
        <v>588</v>
      </c>
      <c r="D36" s="104"/>
      <c r="E36" s="358">
        <f>'Sched C-1'!D43</f>
        <v>229688.56</v>
      </c>
      <c r="F36" s="114">
        <f>'Sched C-1'!E43+'Sched C-1'!F43</f>
        <v>0</v>
      </c>
      <c r="G36" s="114">
        <f t="shared" si="3"/>
        <v>229688.56</v>
      </c>
      <c r="H36" s="385">
        <f>'Sched D-1'!$D$25</f>
        <v>3.3329999999999999E-2</v>
      </c>
      <c r="I36" s="385">
        <f>'Sched D-1'!$E$25</f>
        <v>0.1002</v>
      </c>
      <c r="J36" s="438">
        <v>6059.46</v>
      </c>
      <c r="K36" s="458">
        <f t="shared" si="4"/>
        <v>16955.333712</v>
      </c>
      <c r="L36" s="458">
        <f t="shared" si="5"/>
        <v>23014.793711999999</v>
      </c>
      <c r="M36" s="436"/>
      <c r="N36" s="437"/>
      <c r="O36" s="437"/>
      <c r="P36" s="437"/>
      <c r="Q36" s="437"/>
      <c r="R36" s="437"/>
      <c r="S36" s="437"/>
      <c r="T36" s="437"/>
    </row>
    <row r="37" spans="1:20">
      <c r="A37" s="178">
        <v>19</v>
      </c>
      <c r="B37" s="435"/>
      <c r="C37" s="439" t="s">
        <v>553</v>
      </c>
      <c r="D37" s="119"/>
      <c r="E37" s="442">
        <f>SUM(E30:E36)</f>
        <v>960519.42999999993</v>
      </c>
      <c r="F37" s="442">
        <f>SUM(F30:F36)</f>
        <v>-80096.56</v>
      </c>
      <c r="G37" s="442">
        <f>SUM(G30:G36)</f>
        <v>880422.87000000011</v>
      </c>
      <c r="H37" s="287"/>
      <c r="I37" s="392"/>
      <c r="J37" s="442">
        <f>SUM(J30:J36)</f>
        <v>58387.889999999992</v>
      </c>
      <c r="K37" s="462">
        <f>SUM(K30:K36)</f>
        <v>-13706.840574000002</v>
      </c>
      <c r="L37" s="462">
        <f>SUM(L30:L36)</f>
        <v>44681.049425999998</v>
      </c>
      <c r="M37" s="436"/>
      <c r="N37" s="437"/>
      <c r="O37" s="437"/>
      <c r="P37" s="437"/>
      <c r="Q37" s="437"/>
      <c r="R37" s="437"/>
      <c r="S37" s="437"/>
      <c r="T37" s="437"/>
    </row>
    <row r="38" spans="1:20">
      <c r="A38"/>
      <c r="B38"/>
      <c r="C38"/>
      <c r="D38"/>
      <c r="E38"/>
      <c r="F38"/>
      <c r="G38"/>
      <c r="H38"/>
      <c r="I38"/>
      <c r="J38"/>
      <c r="K38" s="72"/>
      <c r="L38" s="72"/>
      <c r="M38"/>
      <c r="N38"/>
      <c r="O38"/>
      <c r="P38"/>
      <c r="Q38"/>
      <c r="R38"/>
      <c r="S38"/>
      <c r="T38"/>
    </row>
    <row r="39" spans="1:20" s="195" customFormat="1">
      <c r="A39" s="178"/>
      <c r="B39" s="435"/>
      <c r="C39" s="178"/>
      <c r="D39" s="112"/>
      <c r="E39" s="193"/>
      <c r="F39" s="193"/>
      <c r="G39" s="193"/>
      <c r="H39" s="287"/>
      <c r="I39" s="392"/>
      <c r="J39" s="193"/>
      <c r="K39" s="459"/>
      <c r="L39" s="459"/>
      <c r="M39" s="436"/>
      <c r="N39" s="437"/>
      <c r="O39" s="437"/>
      <c r="P39" s="437"/>
      <c r="Q39" s="437"/>
      <c r="R39" s="437"/>
      <c r="S39" s="437"/>
      <c r="T39" s="437"/>
    </row>
    <row r="40" spans="1:20" s="195" customFormat="1">
      <c r="A40" s="178"/>
      <c r="B40" s="435"/>
      <c r="C40" s="434" t="s">
        <v>734</v>
      </c>
      <c r="D40" s="112"/>
      <c r="E40" s="114"/>
      <c r="F40" s="114"/>
      <c r="G40" s="388"/>
      <c r="H40" s="287"/>
      <c r="I40" s="392"/>
      <c r="J40" s="114"/>
      <c r="K40" s="358"/>
      <c r="L40" s="409"/>
      <c r="M40" s="189"/>
      <c r="N40" s="443"/>
      <c r="O40" s="443"/>
      <c r="P40" s="443"/>
      <c r="Q40" s="443"/>
      <c r="R40" s="443"/>
      <c r="S40" s="443"/>
      <c r="T40" s="443"/>
    </row>
    <row r="41" spans="1:20" s="195" customFormat="1">
      <c r="A41" s="178">
        <v>20</v>
      </c>
      <c r="B41" s="435">
        <v>301</v>
      </c>
      <c r="C41" s="104" t="s">
        <v>306</v>
      </c>
      <c r="D41" s="112"/>
      <c r="E41" s="114">
        <f>'Sched C-1'!D14</f>
        <v>125956</v>
      </c>
      <c r="F41" s="114">
        <f>'Sched C-1'!E14+'Sched C-1'!F14</f>
        <v>0</v>
      </c>
      <c r="G41" s="114">
        <f>E41+F41</f>
        <v>125956</v>
      </c>
      <c r="H41" s="385">
        <f>'Sched D-1'!$D$18</f>
        <v>1.2999999999999999E-2</v>
      </c>
      <c r="I41" s="385">
        <f>'Sched D-1'!$E$18</f>
        <v>1.6799999999999999E-2</v>
      </c>
      <c r="J41" s="438">
        <v>1637.4</v>
      </c>
      <c r="K41" s="458">
        <f>L41-J41</f>
        <v>478.66079999999965</v>
      </c>
      <c r="L41" s="458">
        <f>G41*I41</f>
        <v>2116.0607999999997</v>
      </c>
      <c r="M41" s="189"/>
      <c r="N41" s="443"/>
      <c r="O41" s="443"/>
      <c r="P41" s="443"/>
      <c r="Q41" s="443"/>
      <c r="R41" s="443"/>
      <c r="S41" s="443"/>
      <c r="T41" s="443"/>
    </row>
    <row r="42" spans="1:20" s="195" customFormat="1">
      <c r="A42" s="178">
        <v>21</v>
      </c>
      <c r="B42" s="435">
        <v>302</v>
      </c>
      <c r="C42" s="82" t="s">
        <v>327</v>
      </c>
      <c r="D42" s="112"/>
      <c r="E42" s="114">
        <f>'Sched C-1'!D15</f>
        <v>84128</v>
      </c>
      <c r="F42" s="114">
        <f>'Sched C-1'!E15+'Sched C-1'!F15</f>
        <v>0</v>
      </c>
      <c r="G42" s="114">
        <f>E42+F42</f>
        <v>84128</v>
      </c>
      <c r="H42" s="385">
        <f>'Sched D-1'!$D$18</f>
        <v>1.2999999999999999E-2</v>
      </c>
      <c r="I42" s="385">
        <f>'Sched D-1'!$E$18</f>
        <v>1.6799999999999999E-2</v>
      </c>
      <c r="J42" s="438">
        <v>1093.68</v>
      </c>
      <c r="K42" s="458">
        <f>L42-J42</f>
        <v>319.67039999999974</v>
      </c>
      <c r="L42" s="458">
        <f>G42*I42</f>
        <v>1413.3503999999998</v>
      </c>
      <c r="M42" s="189"/>
      <c r="N42" s="443"/>
      <c r="O42" s="443"/>
      <c r="P42" s="443"/>
      <c r="Q42" s="443"/>
      <c r="R42" s="443"/>
      <c r="S42" s="443"/>
      <c r="T42" s="443"/>
    </row>
    <row r="43" spans="1:20" s="195" customFormat="1">
      <c r="A43" s="178">
        <v>22</v>
      </c>
      <c r="B43" s="435">
        <v>303</v>
      </c>
      <c r="C43" s="178" t="s">
        <v>702</v>
      </c>
      <c r="D43" s="112"/>
      <c r="E43" s="114">
        <f>'Sched C-1'!D16</f>
        <v>462464.25</v>
      </c>
      <c r="F43" s="114">
        <f>'Sched C-1'!E16+'Sched C-1'!F16</f>
        <v>0</v>
      </c>
      <c r="G43" s="114">
        <f>E43+F43</f>
        <v>462464.25</v>
      </c>
      <c r="H43" s="385">
        <f>'Sched D-1'!$D$18</f>
        <v>1.2999999999999999E-2</v>
      </c>
      <c r="I43" s="385">
        <f>'Sched D-1'!$E$18</f>
        <v>1.6799999999999999E-2</v>
      </c>
      <c r="J43" s="438">
        <v>6012</v>
      </c>
      <c r="K43" s="458">
        <f>L43-J43</f>
        <v>1757.3993999999993</v>
      </c>
      <c r="L43" s="458">
        <f>G43*I43</f>
        <v>7769.3993999999993</v>
      </c>
      <c r="M43" s="189"/>
      <c r="N43" s="443"/>
      <c r="O43" s="443"/>
      <c r="P43" s="443"/>
      <c r="Q43" s="443"/>
      <c r="R43" s="443"/>
      <c r="S43" s="443"/>
      <c r="T43" s="443"/>
    </row>
    <row r="44" spans="1:20" s="195" customFormat="1" ht="13.5" thickBot="1">
      <c r="A44" s="178">
        <v>23</v>
      </c>
      <c r="B44" s="435"/>
      <c r="C44" s="444" t="s">
        <v>735</v>
      </c>
      <c r="D44" s="112"/>
      <c r="E44" s="445">
        <f>SUM(E41:E43)</f>
        <v>672548.25</v>
      </c>
      <c r="F44" s="445">
        <f>SUM(F41:F43)</f>
        <v>0</v>
      </c>
      <c r="G44" s="445">
        <f>SUM(G41:G43)</f>
        <v>672548.25</v>
      </c>
      <c r="H44" s="288"/>
      <c r="I44" s="446"/>
      <c r="J44" s="445">
        <f>SUM(J41:J43)</f>
        <v>8743.08</v>
      </c>
      <c r="K44" s="449">
        <f>SUM(K41:K43)</f>
        <v>2555.730599999999</v>
      </c>
      <c r="L44" s="449">
        <f>SUM(L41:L43)</f>
        <v>11298.810599999999</v>
      </c>
      <c r="M44" s="189"/>
      <c r="N44" s="443"/>
      <c r="O44" s="443"/>
      <c r="P44" s="443"/>
      <c r="Q44" s="443"/>
      <c r="R44" s="443"/>
      <c r="S44" s="443"/>
      <c r="T44" s="443"/>
    </row>
    <row r="45" spans="1:20" s="195" customFormat="1" ht="13.5" thickTop="1">
      <c r="A45" s="178"/>
      <c r="B45" s="435"/>
      <c r="C45" s="178"/>
      <c r="D45" s="112"/>
      <c r="E45" s="114"/>
      <c r="F45" s="388"/>
      <c r="G45" s="114"/>
      <c r="H45" s="288"/>
      <c r="I45" s="446"/>
      <c r="J45" s="114"/>
      <c r="K45" s="358"/>
      <c r="L45" s="358"/>
      <c r="M45" s="189"/>
      <c r="N45" s="443"/>
      <c r="O45" s="443"/>
      <c r="P45" s="443"/>
      <c r="Q45" s="443"/>
      <c r="R45" s="443"/>
      <c r="S45" s="443"/>
      <c r="T45" s="443"/>
    </row>
    <row r="46" spans="1:20" ht="13.5" thickBot="1">
      <c r="A46" s="178">
        <v>24</v>
      </c>
      <c r="B46" s="435"/>
      <c r="C46" s="444" t="s">
        <v>589</v>
      </c>
      <c r="D46" s="119"/>
      <c r="E46" s="391">
        <f>E44+E37+E26</f>
        <v>204865683.07000002</v>
      </c>
      <c r="F46" s="391">
        <f>F44+F37+F26</f>
        <v>-11394.160000000003</v>
      </c>
      <c r="G46" s="391">
        <f>G44+G37+G26</f>
        <v>204854288.91000003</v>
      </c>
      <c r="H46" s="287"/>
      <c r="I46" s="392"/>
      <c r="J46" s="391">
        <f>J44+J37+J26</f>
        <v>3712023.2500000005</v>
      </c>
      <c r="K46" s="413">
        <f>K44+K37+K26</f>
        <v>2015638.2214130007</v>
      </c>
      <c r="L46" s="413">
        <f>L44+L37+L26</f>
        <v>5727661.4714130005</v>
      </c>
      <c r="M46" s="436"/>
      <c r="N46" s="437"/>
      <c r="O46" s="437"/>
      <c r="P46" s="437"/>
      <c r="Q46" s="437"/>
      <c r="R46" s="437"/>
      <c r="S46" s="437"/>
      <c r="T46" s="437"/>
    </row>
    <row r="47" spans="1:20" ht="13.5" thickTop="1">
      <c r="A47" s="178"/>
      <c r="B47" s="435"/>
      <c r="C47" s="178"/>
      <c r="D47" s="112"/>
      <c r="E47" s="114"/>
      <c r="F47" s="388"/>
      <c r="G47" s="114"/>
      <c r="H47" s="288"/>
      <c r="I47" s="446"/>
      <c r="J47" s="114"/>
      <c r="K47" s="358"/>
      <c r="L47" s="358"/>
      <c r="M47" s="189"/>
      <c r="N47" s="443"/>
      <c r="O47" s="443"/>
      <c r="P47" s="443"/>
      <c r="Q47" s="443"/>
      <c r="R47" s="443"/>
      <c r="S47" s="443"/>
      <c r="T47" s="443"/>
    </row>
    <row r="48" spans="1:20">
      <c r="A48" s="178"/>
      <c r="B48" s="435"/>
      <c r="C48" s="447" t="s">
        <v>612</v>
      </c>
      <c r="D48" s="112"/>
      <c r="E48" s="114"/>
      <c r="F48" s="388"/>
      <c r="G48" s="114"/>
      <c r="H48" s="288"/>
      <c r="I48" s="446"/>
      <c r="J48" s="114"/>
      <c r="K48" s="358"/>
      <c r="L48" s="358"/>
      <c r="M48" s="189"/>
      <c r="N48" s="443"/>
      <c r="O48" s="443"/>
      <c r="P48" s="443"/>
      <c r="Q48" s="443"/>
      <c r="R48" s="443"/>
      <c r="S48" s="443"/>
      <c r="T48" s="443"/>
    </row>
    <row r="49" spans="1:20">
      <c r="A49" s="178">
        <v>25</v>
      </c>
      <c r="B49" s="435">
        <v>365</v>
      </c>
      <c r="C49" s="104" t="s">
        <v>703</v>
      </c>
      <c r="D49" s="112"/>
      <c r="E49" s="114">
        <f>'Sched C-1'!D20</f>
        <v>456030.96</v>
      </c>
      <c r="F49" s="388">
        <v>0</v>
      </c>
      <c r="G49" s="114">
        <f>E49+F49</f>
        <v>456030.96</v>
      </c>
      <c r="H49" s="288">
        <v>0</v>
      </c>
      <c r="I49" s="446">
        <v>0</v>
      </c>
      <c r="J49" s="458">
        <v>0</v>
      </c>
      <c r="K49" s="458">
        <f>L49-J49</f>
        <v>0</v>
      </c>
      <c r="L49" s="458">
        <f>G49*I49</f>
        <v>0</v>
      </c>
      <c r="M49" s="189"/>
      <c r="N49" s="443"/>
      <c r="O49" s="443"/>
      <c r="P49" s="443"/>
      <c r="Q49" s="443"/>
      <c r="R49" s="443"/>
      <c r="S49" s="443"/>
      <c r="T49" s="443"/>
    </row>
    <row r="50" spans="1:20">
      <c r="A50" s="178">
        <v>26</v>
      </c>
      <c r="B50" s="188">
        <v>367.1</v>
      </c>
      <c r="C50" s="219" t="s">
        <v>705</v>
      </c>
      <c r="D50" s="112"/>
      <c r="E50" s="114">
        <f>'Sched C-1'!D25</f>
        <v>337493.71</v>
      </c>
      <c r="F50" s="388">
        <v>0</v>
      </c>
      <c r="G50" s="114">
        <f>E50+F50</f>
        <v>337493.71</v>
      </c>
      <c r="H50" s="288">
        <v>0</v>
      </c>
      <c r="I50" s="446">
        <v>0</v>
      </c>
      <c r="J50" s="458">
        <v>0</v>
      </c>
      <c r="K50" s="458">
        <f>L50-J50</f>
        <v>0</v>
      </c>
      <c r="L50" s="458">
        <f>G50*I50</f>
        <v>0</v>
      </c>
      <c r="M50" s="189"/>
      <c r="N50" s="443"/>
      <c r="O50" s="443"/>
      <c r="P50" s="443"/>
      <c r="Q50" s="443"/>
      <c r="R50" s="443"/>
      <c r="S50" s="443"/>
      <c r="T50" s="443"/>
    </row>
    <row r="51" spans="1:20" ht="13.5" thickBot="1">
      <c r="A51" s="188"/>
      <c r="B51" s="188"/>
      <c r="C51" s="448" t="s">
        <v>737</v>
      </c>
      <c r="D51" s="112"/>
      <c r="E51" s="449">
        <f>SUM(E49:E50)</f>
        <v>793524.67</v>
      </c>
      <c r="F51" s="449">
        <f>SUM(F49:F50)</f>
        <v>0</v>
      </c>
      <c r="G51" s="449">
        <f>SUM(G49:G50)</f>
        <v>793524.67</v>
      </c>
      <c r="H51" s="429"/>
      <c r="I51" s="450"/>
      <c r="J51" s="449">
        <f>SUM(J49:J50)</f>
        <v>0</v>
      </c>
      <c r="K51" s="449">
        <f>SUM(K49:K50)</f>
        <v>0</v>
      </c>
      <c r="L51" s="449">
        <f>SUM(L49:L50)</f>
        <v>0</v>
      </c>
      <c r="M51" s="189"/>
      <c r="N51" s="443"/>
      <c r="O51" s="443"/>
      <c r="P51" s="443"/>
      <c r="Q51" s="443"/>
      <c r="R51" s="443"/>
      <c r="S51" s="443"/>
      <c r="T51" s="443"/>
    </row>
    <row r="52" spans="1:20" ht="13.5" thickTop="1">
      <c r="A52" s="178"/>
      <c r="B52" s="435"/>
      <c r="C52" s="219"/>
      <c r="D52" s="112"/>
      <c r="E52" s="114"/>
      <c r="F52" s="388"/>
      <c r="G52" s="114"/>
      <c r="H52" s="271"/>
      <c r="I52" s="451"/>
      <c r="J52" s="114"/>
      <c r="K52" s="358"/>
      <c r="L52" s="358"/>
      <c r="M52" s="189"/>
      <c r="N52" s="443"/>
      <c r="O52" s="443"/>
      <c r="P52" s="443"/>
      <c r="Q52" s="443"/>
      <c r="R52" s="443"/>
      <c r="S52" s="443"/>
      <c r="T52" s="443"/>
    </row>
    <row r="53" spans="1:20" ht="13.5" thickBot="1">
      <c r="A53" s="178">
        <v>27</v>
      </c>
      <c r="B53" s="178"/>
      <c r="C53" s="444" t="s">
        <v>736</v>
      </c>
      <c r="D53" s="112"/>
      <c r="E53" s="445">
        <f>E46+E51</f>
        <v>205659207.74000001</v>
      </c>
      <c r="F53" s="445">
        <f>F46+F51</f>
        <v>-11394.160000000003</v>
      </c>
      <c r="G53" s="445">
        <f>G46+G51</f>
        <v>205647813.58000001</v>
      </c>
      <c r="H53" s="452"/>
      <c r="I53" s="453"/>
      <c r="J53" s="445">
        <f>J46+J51</f>
        <v>3712023.2500000005</v>
      </c>
      <c r="K53" s="449">
        <f>K46+K51</f>
        <v>2015638.2214130007</v>
      </c>
      <c r="L53" s="449">
        <f>L46+L51</f>
        <v>5727661.4714130005</v>
      </c>
      <c r="M53" s="189"/>
      <c r="N53" s="443"/>
      <c r="O53" s="443"/>
      <c r="P53" s="443"/>
      <c r="Q53" s="443"/>
      <c r="R53" s="443"/>
      <c r="S53" s="443"/>
      <c r="T53" s="443"/>
    </row>
    <row r="54" spans="1:20" ht="13.5" thickTop="1">
      <c r="A54" s="178"/>
      <c r="B54" s="178"/>
      <c r="C54" s="178"/>
      <c r="D54" s="112"/>
      <c r="E54" s="112"/>
      <c r="F54" s="454"/>
      <c r="G54" s="112"/>
      <c r="H54" s="455"/>
      <c r="I54" s="456"/>
      <c r="J54" s="114"/>
      <c r="K54" s="114"/>
      <c r="L54" s="114"/>
      <c r="M54" s="189"/>
      <c r="N54" s="443"/>
      <c r="O54" s="443"/>
      <c r="P54" s="443"/>
      <c r="Q54" s="443"/>
      <c r="R54" s="443"/>
      <c r="S54" s="443"/>
      <c r="T54" s="443"/>
    </row>
    <row r="55" spans="1:20">
      <c r="A55" s="139"/>
      <c r="B55" s="139"/>
      <c r="C55" s="139"/>
      <c r="D55" s="443"/>
      <c r="E55" s="443"/>
      <c r="F55" s="457"/>
      <c r="G55" s="443"/>
      <c r="H55" s="429"/>
      <c r="I55" s="450"/>
      <c r="J55" s="189"/>
      <c r="K55" s="189"/>
      <c r="L55" s="189"/>
      <c r="M55" s="189"/>
      <c r="N55" s="443"/>
      <c r="O55" s="443"/>
      <c r="P55" s="443"/>
      <c r="Q55" s="443"/>
      <c r="R55" s="443"/>
      <c r="S55" s="443"/>
      <c r="T55" s="443"/>
    </row>
    <row r="56" spans="1:20">
      <c r="A56" s="139"/>
      <c r="B56" s="139"/>
      <c r="C56" s="139"/>
      <c r="D56" s="443"/>
      <c r="E56" s="443"/>
      <c r="F56" s="457"/>
      <c r="G56" s="443"/>
      <c r="H56" s="429"/>
      <c r="I56" s="450"/>
      <c r="J56" s="189"/>
      <c r="K56" s="189"/>
      <c r="L56" s="189"/>
      <c r="M56" s="189"/>
      <c r="N56" s="443"/>
      <c r="O56" s="443"/>
      <c r="P56" s="443"/>
      <c r="Q56" s="443"/>
      <c r="R56" s="443"/>
      <c r="S56" s="443"/>
      <c r="T56" s="443"/>
    </row>
    <row r="57" spans="1:20">
      <c r="A57" s="139"/>
      <c r="B57" s="139"/>
      <c r="C57" s="104" t="s">
        <v>723</v>
      </c>
      <c r="D57" s="443"/>
      <c r="E57" s="443"/>
      <c r="F57" s="457"/>
      <c r="G57" s="443"/>
      <c r="H57" s="429"/>
      <c r="I57" s="450"/>
      <c r="J57" s="189"/>
      <c r="K57" s="189"/>
      <c r="L57" s="189"/>
      <c r="M57" s="189"/>
      <c r="N57" s="443"/>
      <c r="O57" s="443"/>
      <c r="P57" s="443"/>
      <c r="Q57" s="443"/>
      <c r="R57" s="443"/>
      <c r="S57" s="443"/>
      <c r="T57" s="443"/>
    </row>
    <row r="58" spans="1:20">
      <c r="A58" s="139"/>
      <c r="B58" s="139"/>
      <c r="C58" s="139"/>
      <c r="D58" s="443"/>
      <c r="E58" s="443"/>
      <c r="F58" s="457"/>
      <c r="G58" s="443"/>
      <c r="H58" s="429"/>
      <c r="I58" s="450"/>
      <c r="J58" s="189"/>
      <c r="K58" s="189"/>
      <c r="L58" s="189"/>
      <c r="M58" s="189"/>
      <c r="N58" s="443"/>
      <c r="O58" s="443"/>
      <c r="P58" s="443"/>
      <c r="Q58" s="443"/>
      <c r="R58" s="443"/>
      <c r="S58" s="443"/>
      <c r="T58" s="443"/>
    </row>
    <row r="59" spans="1:20">
      <c r="A59" s="139"/>
      <c r="B59" s="139"/>
      <c r="C59" s="139"/>
      <c r="D59" s="443"/>
      <c r="E59" s="443"/>
      <c r="F59" s="457"/>
      <c r="G59" s="443"/>
      <c r="H59" s="429"/>
      <c r="I59" s="450"/>
      <c r="J59" s="189"/>
      <c r="K59" s="189"/>
      <c r="L59" s="189"/>
      <c r="M59" s="189"/>
      <c r="N59" s="443"/>
      <c r="O59" s="443"/>
      <c r="P59" s="443"/>
      <c r="Q59" s="443"/>
      <c r="R59" s="443"/>
      <c r="S59" s="443"/>
      <c r="T59" s="443"/>
    </row>
    <row r="60" spans="1:20">
      <c r="A60" s="139"/>
      <c r="B60" s="139"/>
      <c r="C60" s="139"/>
      <c r="D60" s="443"/>
      <c r="E60" s="443"/>
      <c r="F60" s="457"/>
      <c r="G60" s="443"/>
      <c r="H60" s="429"/>
      <c r="I60" s="450"/>
      <c r="J60" s="189"/>
      <c r="K60" s="189"/>
      <c r="L60" s="189"/>
      <c r="M60" s="189"/>
      <c r="N60" s="443"/>
      <c r="O60" s="443"/>
      <c r="P60" s="443"/>
      <c r="Q60" s="443"/>
      <c r="R60" s="443"/>
      <c r="S60" s="443"/>
      <c r="T60" s="443"/>
    </row>
    <row r="61" spans="1:20">
      <c r="A61" s="139"/>
      <c r="B61" s="139"/>
      <c r="C61" s="139"/>
      <c r="D61" s="443"/>
      <c r="E61" s="443"/>
      <c r="F61" s="457"/>
      <c r="G61" s="443"/>
      <c r="H61" s="429"/>
      <c r="I61" s="450"/>
      <c r="J61" s="189"/>
      <c r="K61" s="189"/>
      <c r="L61" s="189"/>
      <c r="M61" s="189"/>
      <c r="N61" s="443"/>
      <c r="O61" s="443"/>
      <c r="P61" s="443"/>
      <c r="Q61" s="443"/>
      <c r="R61" s="443"/>
      <c r="S61" s="443"/>
      <c r="T61" s="443"/>
    </row>
    <row r="62" spans="1:20">
      <c r="A62" s="139"/>
      <c r="B62" s="139"/>
      <c r="C62" s="139"/>
      <c r="D62" s="443"/>
      <c r="E62" s="443"/>
      <c r="F62" s="457"/>
      <c r="G62" s="443"/>
      <c r="H62" s="429"/>
      <c r="I62" s="450"/>
      <c r="J62" s="189"/>
      <c r="K62" s="189"/>
      <c r="L62" s="189"/>
      <c r="M62" s="189"/>
      <c r="N62" s="443"/>
      <c r="O62" s="443"/>
      <c r="P62" s="443"/>
      <c r="Q62" s="443"/>
      <c r="R62" s="443"/>
      <c r="S62" s="443"/>
      <c r="T62" s="443"/>
    </row>
    <row r="63" spans="1:20">
      <c r="A63" s="139"/>
      <c r="B63" s="139"/>
      <c r="C63" s="139"/>
      <c r="D63" s="443"/>
      <c r="E63" s="443"/>
      <c r="F63" s="457"/>
      <c r="G63" s="443"/>
      <c r="H63" s="429"/>
      <c r="I63" s="450"/>
      <c r="J63" s="189"/>
      <c r="K63" s="189"/>
      <c r="L63" s="189"/>
      <c r="M63" s="189"/>
      <c r="N63" s="443"/>
      <c r="O63" s="443"/>
      <c r="P63" s="443"/>
      <c r="Q63" s="443"/>
      <c r="R63" s="443"/>
      <c r="S63" s="443"/>
      <c r="T63" s="443"/>
    </row>
    <row r="64" spans="1:20">
      <c r="A64" s="139"/>
      <c r="B64" s="139"/>
      <c r="C64" s="139"/>
      <c r="D64" s="443"/>
      <c r="E64" s="443"/>
      <c r="F64" s="457"/>
      <c r="G64" s="443"/>
      <c r="H64" s="429"/>
      <c r="I64" s="450"/>
      <c r="J64" s="189"/>
      <c r="K64" s="189"/>
      <c r="L64" s="189"/>
      <c r="M64" s="189"/>
      <c r="N64" s="443"/>
      <c r="O64" s="443"/>
      <c r="P64" s="443"/>
      <c r="Q64" s="443"/>
      <c r="R64" s="443"/>
      <c r="S64" s="443"/>
      <c r="T64" s="443"/>
    </row>
    <row r="65" spans="1:20">
      <c r="A65"/>
      <c r="B65"/>
      <c r="C65"/>
      <c r="D65" s="443"/>
      <c r="E65" s="443"/>
      <c r="F65" s="457"/>
      <c r="G65" s="443"/>
      <c r="H65" s="429"/>
      <c r="I65" s="450"/>
      <c r="J65" s="189"/>
      <c r="K65" s="189"/>
      <c r="L65" s="189"/>
      <c r="M65" s="189"/>
      <c r="N65" s="443"/>
      <c r="O65" s="443"/>
      <c r="P65" s="443"/>
      <c r="Q65" s="443"/>
      <c r="R65" s="443"/>
      <c r="S65" s="443"/>
      <c r="T65" s="443"/>
    </row>
    <row r="66" spans="1:20">
      <c r="A66"/>
      <c r="B66"/>
      <c r="C66"/>
      <c r="D66" s="443"/>
      <c r="E66" s="443"/>
      <c r="F66" s="457"/>
      <c r="G66" s="443"/>
      <c r="H66" s="429"/>
      <c r="I66" s="450"/>
      <c r="J66" s="189"/>
      <c r="K66" s="189"/>
      <c r="L66" s="189"/>
      <c r="M66" s="189"/>
      <c r="N66" s="443"/>
      <c r="O66" s="443"/>
      <c r="P66" s="443"/>
      <c r="Q66" s="443"/>
      <c r="R66" s="443"/>
      <c r="S66" s="443"/>
      <c r="T66" s="443"/>
    </row>
    <row r="67" spans="1:20">
      <c r="A67"/>
      <c r="B67"/>
      <c r="C67"/>
      <c r="D67" s="443"/>
      <c r="E67" s="443"/>
      <c r="F67" s="457"/>
      <c r="G67" s="443"/>
      <c r="H67" s="429"/>
      <c r="I67" s="450"/>
      <c r="J67" s="189"/>
      <c r="K67" s="189"/>
      <c r="L67" s="189"/>
      <c r="M67" s="189"/>
      <c r="N67" s="443"/>
      <c r="O67" s="443"/>
      <c r="P67" s="443"/>
      <c r="Q67" s="443"/>
      <c r="R67" s="443"/>
      <c r="S67" s="443"/>
      <c r="T67" s="443"/>
    </row>
    <row r="68" spans="1:20">
      <c r="A68"/>
      <c r="B68"/>
      <c r="C68"/>
      <c r="D68" s="443"/>
      <c r="E68" s="443"/>
      <c r="F68" s="457"/>
      <c r="G68" s="443"/>
      <c r="H68" s="429"/>
      <c r="I68" s="450"/>
      <c r="J68" s="189"/>
      <c r="K68" s="189"/>
      <c r="L68" s="189"/>
      <c r="M68" s="189"/>
      <c r="N68" s="443"/>
      <c r="O68" s="443"/>
      <c r="P68" s="443"/>
      <c r="Q68" s="443"/>
      <c r="R68" s="443"/>
      <c r="S68" s="443"/>
      <c r="T68" s="443"/>
    </row>
    <row r="69" spans="1:20">
      <c r="A69"/>
      <c r="B69"/>
      <c r="C69"/>
      <c r="D69" s="443"/>
      <c r="E69" s="443"/>
      <c r="F69" s="457"/>
      <c r="G69" s="443"/>
      <c r="H69" s="429"/>
      <c r="I69" s="450"/>
      <c r="J69" s="189"/>
      <c r="K69" s="189"/>
      <c r="L69" s="189"/>
      <c r="M69" s="189"/>
      <c r="N69" s="443"/>
      <c r="O69" s="443"/>
      <c r="P69" s="443"/>
      <c r="Q69" s="443"/>
      <c r="R69" s="443"/>
      <c r="S69" s="443"/>
      <c r="T69" s="443"/>
    </row>
    <row r="70" spans="1:20">
      <c r="A70"/>
      <c r="B70"/>
      <c r="C70"/>
      <c r="D70" s="443"/>
      <c r="E70" s="443"/>
      <c r="F70" s="457"/>
      <c r="G70" s="443"/>
      <c r="H70" s="429"/>
      <c r="I70" s="450"/>
      <c r="J70" s="189"/>
      <c r="K70" s="189"/>
      <c r="L70" s="189"/>
      <c r="M70" s="189"/>
      <c r="N70" s="443"/>
      <c r="O70" s="443"/>
      <c r="P70" s="443"/>
      <c r="Q70" s="443"/>
      <c r="R70" s="443"/>
      <c r="S70" s="443"/>
      <c r="T70" s="443"/>
    </row>
    <row r="71" spans="1:20">
      <c r="A71"/>
      <c r="B71"/>
      <c r="C71"/>
      <c r="D71" s="443"/>
      <c r="E71" s="443"/>
      <c r="F71" s="457"/>
      <c r="G71" s="443"/>
      <c r="H71" s="429"/>
      <c r="I71" s="450"/>
      <c r="J71" s="189"/>
      <c r="K71" s="189"/>
      <c r="L71" s="189"/>
      <c r="M71" s="189"/>
      <c r="N71" s="443"/>
      <c r="O71" s="443"/>
      <c r="P71" s="443"/>
      <c r="Q71" s="443"/>
      <c r="R71" s="443"/>
      <c r="S71" s="443"/>
      <c r="T71" s="443"/>
    </row>
    <row r="72" spans="1:20">
      <c r="A72"/>
      <c r="B72"/>
      <c r="C72"/>
      <c r="D72" s="443"/>
      <c r="E72" s="443"/>
      <c r="F72" s="457"/>
      <c r="G72" s="443"/>
      <c r="H72" s="429"/>
      <c r="I72" s="450"/>
      <c r="J72" s="189"/>
      <c r="K72" s="189"/>
      <c r="L72" s="189"/>
      <c r="M72" s="189"/>
      <c r="N72" s="443"/>
      <c r="O72" s="443"/>
      <c r="P72" s="443"/>
      <c r="Q72" s="443"/>
      <c r="R72" s="443"/>
      <c r="S72" s="443"/>
      <c r="T72" s="443"/>
    </row>
    <row r="73" spans="1:20">
      <c r="A73"/>
      <c r="B73"/>
      <c r="C73"/>
      <c r="D73" s="443"/>
      <c r="E73" s="443"/>
      <c r="F73" s="443"/>
      <c r="G73" s="443"/>
      <c r="H73" s="429"/>
      <c r="I73" s="450"/>
      <c r="J73" s="189"/>
      <c r="K73" s="189"/>
      <c r="L73" s="189"/>
      <c r="M73" s="189"/>
      <c r="N73" s="443"/>
      <c r="O73" s="443"/>
      <c r="P73" s="443"/>
      <c r="Q73" s="443"/>
      <c r="R73" s="443"/>
      <c r="S73" s="443"/>
      <c r="T73" s="443"/>
    </row>
    <row r="74" spans="1:20">
      <c r="A74"/>
      <c r="B74"/>
      <c r="C74"/>
      <c r="D74" s="443"/>
      <c r="E74" s="443"/>
      <c r="F74" s="443"/>
      <c r="G74" s="443"/>
      <c r="H74" s="429"/>
      <c r="I74" s="450"/>
      <c r="J74" s="189"/>
      <c r="K74" s="189"/>
      <c r="L74" s="189"/>
      <c r="M74" s="189"/>
      <c r="N74" s="443"/>
      <c r="O74" s="443"/>
      <c r="P74" s="443"/>
      <c r="Q74" s="443"/>
      <c r="R74" s="443"/>
      <c r="S74" s="443"/>
      <c r="T74" s="443"/>
    </row>
    <row r="75" spans="1:20">
      <c r="A75"/>
      <c r="B75"/>
      <c r="C75"/>
      <c r="D75" s="443"/>
      <c r="E75" s="443"/>
      <c r="F75" s="443"/>
      <c r="G75" s="443"/>
      <c r="H75" s="429"/>
      <c r="I75" s="450"/>
      <c r="J75" s="189"/>
      <c r="K75" s="189"/>
      <c r="L75" s="189"/>
      <c r="M75" s="189"/>
      <c r="N75" s="443"/>
      <c r="O75" s="443"/>
      <c r="P75" s="443"/>
      <c r="Q75" s="443"/>
      <c r="R75" s="443"/>
      <c r="S75" s="443"/>
      <c r="T75" s="443"/>
    </row>
    <row r="76" spans="1:20">
      <c r="A76"/>
      <c r="B76"/>
      <c r="C76"/>
      <c r="D76" s="443"/>
      <c r="E76" s="443"/>
      <c r="F76" s="443"/>
      <c r="G76" s="443"/>
      <c r="H76" s="429"/>
      <c r="I76" s="450"/>
      <c r="J76" s="189"/>
      <c r="K76" s="189"/>
      <c r="L76" s="189"/>
      <c r="M76" s="189"/>
      <c r="N76" s="443"/>
      <c r="O76" s="443"/>
      <c r="P76" s="443"/>
      <c r="Q76" s="443"/>
      <c r="R76" s="443"/>
      <c r="S76" s="443"/>
      <c r="T76" s="443"/>
    </row>
    <row r="77" spans="1:20">
      <c r="A77"/>
      <c r="B77"/>
      <c r="C77"/>
      <c r="D77" s="443"/>
      <c r="E77" s="443"/>
      <c r="F77" s="443"/>
      <c r="G77" s="443"/>
      <c r="H77" s="429"/>
      <c r="I77" s="450"/>
      <c r="J77" s="189"/>
      <c r="K77" s="189"/>
      <c r="L77" s="189"/>
      <c r="M77" s="189"/>
      <c r="N77" s="443"/>
      <c r="O77" s="443"/>
      <c r="P77" s="443"/>
      <c r="Q77" s="443"/>
      <c r="R77" s="443"/>
      <c r="S77" s="443"/>
      <c r="T77" s="443"/>
    </row>
    <row r="78" spans="1:20">
      <c r="A78"/>
      <c r="B78"/>
      <c r="C78"/>
      <c r="D78" s="443"/>
      <c r="E78" s="443"/>
      <c r="F78" s="443"/>
      <c r="G78" s="443"/>
      <c r="H78" s="429"/>
      <c r="I78" s="450"/>
      <c r="J78" s="189"/>
      <c r="K78" s="189"/>
      <c r="L78" s="189"/>
      <c r="M78" s="189"/>
      <c r="N78" s="443"/>
      <c r="O78" s="443"/>
      <c r="P78" s="443"/>
      <c r="Q78" s="443"/>
      <c r="R78" s="443"/>
      <c r="S78" s="443"/>
      <c r="T78" s="443"/>
    </row>
    <row r="79" spans="1:20">
      <c r="A79"/>
      <c r="B79"/>
      <c r="C79"/>
      <c r="D79" s="443"/>
      <c r="E79" s="443"/>
      <c r="F79" s="443"/>
      <c r="G79" s="443"/>
      <c r="H79" s="429"/>
      <c r="I79" s="450"/>
      <c r="J79" s="189"/>
      <c r="K79" s="189"/>
      <c r="L79" s="189"/>
      <c r="M79" s="189"/>
      <c r="N79" s="443"/>
      <c r="O79" s="443"/>
      <c r="P79" s="443"/>
      <c r="Q79" s="443"/>
      <c r="R79" s="443"/>
      <c r="S79" s="443"/>
      <c r="T79" s="443"/>
    </row>
    <row r="80" spans="1:20">
      <c r="A80"/>
      <c r="B80"/>
      <c r="C80"/>
      <c r="D80" s="443"/>
      <c r="E80" s="443"/>
      <c r="F80" s="443"/>
      <c r="G80" s="443"/>
      <c r="H80" s="429"/>
      <c r="I80" s="450"/>
      <c r="J80" s="189"/>
      <c r="K80" s="189"/>
      <c r="L80" s="189"/>
      <c r="M80" s="189"/>
      <c r="N80" s="443"/>
      <c r="O80" s="443"/>
      <c r="P80" s="443"/>
      <c r="Q80" s="443"/>
      <c r="R80" s="443"/>
      <c r="S80" s="443"/>
      <c r="T80" s="443"/>
    </row>
    <row r="81" spans="1:20">
      <c r="A81"/>
      <c r="B81"/>
      <c r="C81"/>
      <c r="D81" s="443"/>
      <c r="E81" s="443"/>
      <c r="F81" s="443"/>
      <c r="G81" s="443"/>
      <c r="H81" s="429"/>
      <c r="I81" s="450"/>
      <c r="J81" s="189"/>
      <c r="K81" s="189"/>
      <c r="L81" s="189"/>
      <c r="M81" s="189"/>
      <c r="N81" s="443"/>
      <c r="O81" s="443"/>
      <c r="P81" s="443"/>
      <c r="Q81" s="443"/>
      <c r="R81" s="443"/>
      <c r="S81" s="443"/>
      <c r="T81" s="443"/>
    </row>
    <row r="82" spans="1:20">
      <c r="A82"/>
      <c r="B82"/>
      <c r="C82"/>
      <c r="D82" s="443"/>
      <c r="E82" s="443"/>
      <c r="F82" s="443"/>
      <c r="G82" s="443"/>
      <c r="H82" s="429"/>
      <c r="I82" s="450"/>
      <c r="J82" s="189"/>
      <c r="K82" s="189"/>
      <c r="L82" s="189"/>
      <c r="M82" s="189"/>
      <c r="N82" s="443"/>
      <c r="O82" s="443"/>
      <c r="P82" s="443"/>
      <c r="Q82" s="443"/>
      <c r="R82" s="443"/>
      <c r="S82" s="443"/>
      <c r="T82" s="443"/>
    </row>
    <row r="83" spans="1:20">
      <c r="A83"/>
      <c r="B83"/>
      <c r="C83"/>
      <c r="D83" s="443"/>
      <c r="E83" s="443"/>
      <c r="F83" s="443"/>
      <c r="G83" s="443"/>
      <c r="H83" s="429"/>
      <c r="I83" s="450"/>
      <c r="J83" s="189"/>
      <c r="K83" s="189"/>
      <c r="L83" s="189"/>
      <c r="M83" s="189"/>
      <c r="N83" s="443"/>
      <c r="O83" s="443"/>
      <c r="P83" s="443"/>
      <c r="Q83" s="443"/>
      <c r="R83" s="443"/>
      <c r="S83" s="443"/>
      <c r="T83" s="443"/>
    </row>
    <row r="84" spans="1:20">
      <c r="A84"/>
      <c r="B84"/>
      <c r="C84"/>
      <c r="D84" s="443"/>
      <c r="E84" s="443"/>
      <c r="F84" s="443"/>
      <c r="G84" s="443"/>
      <c r="H84" s="429"/>
      <c r="I84" s="450"/>
      <c r="J84" s="189"/>
      <c r="K84" s="189"/>
      <c r="L84" s="189"/>
      <c r="M84" s="189"/>
      <c r="N84" s="443"/>
      <c r="O84" s="443"/>
      <c r="P84" s="443"/>
      <c r="Q84" s="443"/>
      <c r="R84" s="443"/>
      <c r="S84" s="443"/>
      <c r="T84" s="443"/>
    </row>
    <row r="85" spans="1:20">
      <c r="A85"/>
      <c r="B85"/>
      <c r="C85"/>
      <c r="D85" s="443"/>
      <c r="E85" s="443"/>
      <c r="F85" s="443"/>
      <c r="G85" s="443"/>
      <c r="H85" s="429"/>
      <c r="I85" s="450"/>
      <c r="J85" s="189"/>
      <c r="K85" s="189"/>
      <c r="L85" s="189"/>
      <c r="M85" s="189"/>
      <c r="N85" s="443"/>
      <c r="O85" s="443"/>
      <c r="P85" s="443"/>
      <c r="Q85" s="443"/>
      <c r="R85" s="443"/>
      <c r="S85" s="443"/>
      <c r="T85" s="443"/>
    </row>
    <row r="86" spans="1:20">
      <c r="A86"/>
      <c r="B86"/>
      <c r="C86"/>
      <c r="D86" s="443"/>
      <c r="E86" s="188"/>
      <c r="F86" s="188"/>
      <c r="G86" s="188"/>
      <c r="H86" s="429"/>
      <c r="I86" s="450"/>
      <c r="J86" s="189"/>
      <c r="K86" s="189"/>
      <c r="L86" s="189"/>
      <c r="M86" s="189"/>
      <c r="N86" s="188"/>
      <c r="O86" s="188"/>
      <c r="P86" s="188"/>
      <c r="Q86" s="188"/>
      <c r="R86" s="188"/>
      <c r="S86" s="188"/>
      <c r="T86" s="188"/>
    </row>
    <row r="87" spans="1:20">
      <c r="A87"/>
      <c r="B87"/>
      <c r="C87"/>
      <c r="D87" s="443"/>
      <c r="E87" s="188"/>
      <c r="F87" s="188"/>
      <c r="G87" s="188"/>
      <c r="H87" s="429"/>
      <c r="I87" s="450"/>
      <c r="J87" s="189"/>
      <c r="K87" s="189"/>
      <c r="L87" s="189"/>
      <c r="M87" s="189"/>
      <c r="N87" s="188"/>
      <c r="O87" s="188"/>
      <c r="P87" s="188"/>
      <c r="Q87" s="188"/>
      <c r="R87" s="188"/>
      <c r="S87" s="188"/>
      <c r="T87" s="188"/>
    </row>
    <row r="88" spans="1:20">
      <c r="A88"/>
      <c r="B88"/>
      <c r="C88"/>
      <c r="D88" s="443"/>
      <c r="E88" s="188"/>
      <c r="F88" s="188"/>
      <c r="G88" s="188"/>
      <c r="H88" s="429"/>
      <c r="I88" s="450"/>
      <c r="J88" s="189"/>
      <c r="K88" s="189"/>
      <c r="L88" s="189"/>
      <c r="M88" s="189"/>
      <c r="N88" s="188"/>
      <c r="O88" s="188"/>
      <c r="P88" s="188"/>
      <c r="Q88" s="188"/>
      <c r="R88" s="188"/>
      <c r="S88" s="188"/>
      <c r="T88" s="188"/>
    </row>
    <row r="89" spans="1:20">
      <c r="A89"/>
      <c r="B89"/>
      <c r="C89"/>
      <c r="D89" s="443"/>
      <c r="E89" s="188"/>
      <c r="F89" s="188"/>
      <c r="G89" s="188"/>
      <c r="H89" s="429"/>
      <c r="I89" s="450"/>
      <c r="J89" s="189"/>
      <c r="K89" s="189"/>
      <c r="L89" s="189"/>
      <c r="M89" s="189"/>
      <c r="N89" s="188"/>
      <c r="O89" s="188"/>
      <c r="P89" s="188"/>
      <c r="Q89" s="188"/>
      <c r="R89" s="188"/>
      <c r="S89" s="188"/>
      <c r="T89" s="188"/>
    </row>
    <row r="90" spans="1:20">
      <c r="A90"/>
      <c r="B90"/>
      <c r="C90"/>
      <c r="D90" s="443"/>
      <c r="E90" s="188"/>
      <c r="F90" s="188"/>
      <c r="G90" s="188"/>
      <c r="H90" s="429"/>
      <c r="I90" s="450"/>
      <c r="J90" s="189"/>
      <c r="K90" s="189"/>
      <c r="L90" s="189"/>
      <c r="M90" s="189"/>
      <c r="N90" s="188"/>
      <c r="O90" s="188"/>
      <c r="P90" s="188"/>
      <c r="Q90" s="188"/>
      <c r="R90" s="188"/>
      <c r="S90" s="188"/>
      <c r="T90" s="188"/>
    </row>
    <row r="91" spans="1:20">
      <c r="A91"/>
      <c r="B91"/>
      <c r="C91"/>
      <c r="D91" s="443"/>
      <c r="E91" s="188"/>
      <c r="F91" s="188"/>
      <c r="G91" s="188"/>
      <c r="H91" s="429"/>
      <c r="I91" s="450"/>
      <c r="J91" s="189"/>
      <c r="K91" s="189"/>
      <c r="L91" s="189"/>
      <c r="M91" s="189"/>
      <c r="N91" s="188"/>
      <c r="O91" s="188"/>
      <c r="P91" s="188"/>
      <c r="Q91" s="188"/>
      <c r="R91" s="188"/>
      <c r="S91" s="188"/>
      <c r="T91" s="188"/>
    </row>
    <row r="92" spans="1:20">
      <c r="A92"/>
      <c r="B92"/>
      <c r="C92"/>
      <c r="D92" s="443"/>
      <c r="E92" s="188"/>
      <c r="F92" s="188"/>
      <c r="G92" s="188"/>
      <c r="H92" s="429"/>
      <c r="I92" s="450"/>
      <c r="J92" s="189"/>
      <c r="K92" s="189"/>
      <c r="L92" s="189"/>
      <c r="M92" s="189"/>
      <c r="N92" s="188"/>
      <c r="O92" s="188"/>
      <c r="P92" s="188"/>
      <c r="Q92" s="188"/>
      <c r="R92" s="188"/>
      <c r="S92" s="188"/>
      <c r="T92" s="188"/>
    </row>
    <row r="93" spans="1:20">
      <c r="A93"/>
      <c r="B93"/>
      <c r="C93"/>
      <c r="D93" s="443"/>
      <c r="E93" s="188"/>
      <c r="F93" s="188"/>
      <c r="G93" s="188"/>
      <c r="H93" s="429"/>
      <c r="I93" s="450"/>
      <c r="J93" s="189"/>
      <c r="K93" s="189"/>
      <c r="L93" s="189"/>
      <c r="M93" s="189"/>
      <c r="N93" s="188"/>
      <c r="O93" s="188"/>
      <c r="P93" s="188"/>
      <c r="Q93" s="188"/>
      <c r="R93" s="188"/>
      <c r="S93" s="188"/>
      <c r="T93" s="188"/>
    </row>
    <row r="94" spans="1:20">
      <c r="A94"/>
      <c r="B94"/>
      <c r="C94"/>
      <c r="D94" s="443"/>
      <c r="E94" s="188"/>
      <c r="F94" s="188"/>
      <c r="G94" s="188"/>
      <c r="H94" s="429"/>
      <c r="I94" s="450"/>
      <c r="J94" s="189"/>
      <c r="K94" s="189"/>
      <c r="L94" s="189"/>
      <c r="M94" s="189"/>
      <c r="N94" s="188"/>
      <c r="O94" s="188"/>
      <c r="P94" s="188"/>
      <c r="Q94" s="188"/>
      <c r="R94" s="188"/>
      <c r="S94" s="188"/>
      <c r="T94" s="188"/>
    </row>
    <row r="95" spans="1:20">
      <c r="A95"/>
      <c r="B95"/>
      <c r="C95"/>
      <c r="D95" s="443"/>
      <c r="E95" s="188"/>
      <c r="F95" s="188"/>
      <c r="G95" s="188"/>
      <c r="H95" s="429"/>
      <c r="I95" s="450"/>
      <c r="J95" s="189"/>
      <c r="K95" s="189"/>
      <c r="L95" s="189"/>
      <c r="M95" s="189"/>
      <c r="N95" s="188"/>
      <c r="O95" s="188"/>
      <c r="P95" s="188"/>
      <c r="Q95" s="188"/>
      <c r="R95" s="188"/>
      <c r="S95" s="188"/>
      <c r="T95" s="188"/>
    </row>
    <row r="96" spans="1:20">
      <c r="A96"/>
      <c r="B96"/>
      <c r="C96"/>
      <c r="D96" s="443"/>
      <c r="E96" s="188"/>
      <c r="F96" s="188"/>
      <c r="G96" s="188"/>
      <c r="H96" s="429"/>
      <c r="I96" s="450"/>
      <c r="J96" s="189"/>
      <c r="K96" s="189"/>
      <c r="L96" s="189"/>
      <c r="M96" s="189"/>
      <c r="N96" s="188"/>
      <c r="O96" s="188"/>
      <c r="P96" s="188"/>
      <c r="Q96" s="188"/>
      <c r="R96" s="188"/>
      <c r="S96" s="188"/>
      <c r="T96" s="188"/>
    </row>
    <row r="97" spans="1:20">
      <c r="A97"/>
      <c r="B97"/>
      <c r="C97"/>
      <c r="D97" s="443"/>
      <c r="E97"/>
      <c r="F97"/>
      <c r="G97"/>
      <c r="H97"/>
      <c r="I97"/>
      <c r="J97"/>
      <c r="K97"/>
      <c r="L97"/>
      <c r="M97"/>
      <c r="N97"/>
      <c r="O97"/>
      <c r="P97"/>
      <c r="Q97"/>
      <c r="R97"/>
      <c r="S97"/>
      <c r="T97"/>
    </row>
    <row r="98" spans="1:20">
      <c r="A98"/>
      <c r="B98"/>
      <c r="C98"/>
      <c r="D98" s="443"/>
      <c r="E98"/>
      <c r="F98"/>
      <c r="G98"/>
      <c r="H98"/>
      <c r="I98"/>
      <c r="J98"/>
      <c r="K98"/>
      <c r="L98"/>
      <c r="M98"/>
      <c r="N98"/>
      <c r="O98"/>
      <c r="P98"/>
      <c r="Q98"/>
      <c r="R98"/>
      <c r="S98"/>
      <c r="T98"/>
    </row>
    <row r="99" spans="1:20">
      <c r="A99"/>
      <c r="B99"/>
      <c r="C99"/>
      <c r="D99" s="443"/>
      <c r="E99"/>
      <c r="F99"/>
      <c r="G99"/>
      <c r="H99"/>
      <c r="I99"/>
      <c r="J99"/>
      <c r="K99"/>
      <c r="L99"/>
      <c r="M99"/>
      <c r="N99"/>
      <c r="O99"/>
      <c r="P99"/>
      <c r="Q99"/>
      <c r="R99"/>
      <c r="S99"/>
      <c r="T99"/>
    </row>
    <row r="100" spans="1:20">
      <c r="A100"/>
      <c r="B100"/>
      <c r="C100"/>
      <c r="D100" s="443"/>
      <c r="E100"/>
      <c r="F100"/>
      <c r="G100"/>
      <c r="H100"/>
      <c r="I100"/>
      <c r="J100"/>
      <c r="K100"/>
      <c r="L100"/>
      <c r="M100"/>
      <c r="N100"/>
      <c r="O100"/>
      <c r="P100"/>
      <c r="Q100"/>
      <c r="R100"/>
      <c r="S100"/>
      <c r="T100"/>
    </row>
    <row r="101" spans="1:20">
      <c r="A101"/>
      <c r="B101"/>
      <c r="C101"/>
      <c r="D101" s="443"/>
      <c r="E101"/>
      <c r="F101"/>
      <c r="G101"/>
      <c r="H101"/>
      <c r="I101"/>
      <c r="J101"/>
      <c r="K101"/>
      <c r="L101"/>
      <c r="M101"/>
      <c r="N101"/>
      <c r="O101"/>
      <c r="P101"/>
      <c r="Q101"/>
      <c r="R101"/>
      <c r="S101"/>
      <c r="T101"/>
    </row>
    <row r="102" spans="1:20">
      <c r="A102"/>
      <c r="B102"/>
      <c r="C102"/>
      <c r="D102" s="443"/>
      <c r="E102"/>
      <c r="F102"/>
      <c r="G102"/>
      <c r="H102"/>
      <c r="I102"/>
      <c r="J102"/>
      <c r="K102"/>
      <c r="L102"/>
      <c r="M102"/>
      <c r="N102"/>
      <c r="O102"/>
      <c r="P102"/>
      <c r="Q102"/>
      <c r="R102"/>
      <c r="S102"/>
      <c r="T102"/>
    </row>
    <row r="103" spans="1:20">
      <c r="A103"/>
      <c r="B103"/>
      <c r="C103"/>
      <c r="D103" s="443"/>
      <c r="E103"/>
      <c r="F103"/>
      <c r="G103"/>
      <c r="H103"/>
      <c r="I103"/>
      <c r="J103"/>
      <c r="K103"/>
      <c r="L103"/>
      <c r="M103"/>
      <c r="N103"/>
      <c r="O103"/>
      <c r="P103"/>
      <c r="Q103"/>
      <c r="R103"/>
      <c r="S103"/>
      <c r="T103"/>
    </row>
    <row r="104" spans="1:20">
      <c r="A104"/>
      <c r="B104"/>
      <c r="C104"/>
      <c r="D104" s="443"/>
      <c r="E104"/>
      <c r="F104"/>
      <c r="G104"/>
      <c r="H104"/>
      <c r="I104"/>
      <c r="J104"/>
      <c r="K104"/>
      <c r="L104"/>
      <c r="M104"/>
      <c r="N104"/>
      <c r="O104"/>
      <c r="P104"/>
      <c r="Q104"/>
      <c r="R104"/>
      <c r="S104"/>
      <c r="T104"/>
    </row>
    <row r="105" spans="1:20">
      <c r="A105"/>
      <c r="B105"/>
      <c r="C105"/>
      <c r="D105" s="443"/>
      <c r="E105"/>
      <c r="F105"/>
      <c r="G105"/>
      <c r="H105"/>
      <c r="I105"/>
      <c r="J105"/>
      <c r="K105"/>
      <c r="L105"/>
      <c r="M105"/>
      <c r="N105"/>
      <c r="O105"/>
      <c r="P105"/>
      <c r="Q105"/>
      <c r="R105"/>
      <c r="S105"/>
      <c r="T105"/>
    </row>
    <row r="106" spans="1:20">
      <c r="A106"/>
      <c r="B106"/>
      <c r="C106"/>
      <c r="D106" s="443"/>
      <c r="E106"/>
      <c r="F106"/>
      <c r="G106"/>
      <c r="H106"/>
      <c r="I106"/>
      <c r="J106"/>
      <c r="K106"/>
      <c r="L106"/>
      <c r="M106"/>
      <c r="N106"/>
      <c r="O106"/>
      <c r="P106"/>
      <c r="Q106"/>
      <c r="R106"/>
      <c r="S106"/>
      <c r="T106"/>
    </row>
    <row r="107" spans="1:20">
      <c r="A107"/>
      <c r="B107"/>
      <c r="C107"/>
      <c r="D107" s="443"/>
      <c r="E107"/>
      <c r="F107"/>
      <c r="G107"/>
      <c r="H107"/>
      <c r="I107"/>
      <c r="J107"/>
      <c r="K107"/>
      <c r="L107"/>
      <c r="M107"/>
      <c r="N107"/>
      <c r="O107"/>
      <c r="P107"/>
      <c r="Q107"/>
      <c r="R107"/>
      <c r="S107"/>
      <c r="T107"/>
    </row>
    <row r="108" spans="1:20">
      <c r="A108"/>
      <c r="B108"/>
      <c r="C108"/>
      <c r="D108" s="443"/>
      <c r="E108"/>
      <c r="F108"/>
      <c r="G108"/>
      <c r="H108"/>
      <c r="I108"/>
      <c r="J108"/>
      <c r="K108"/>
      <c r="L108"/>
      <c r="M108"/>
      <c r="N108"/>
      <c r="O108"/>
      <c r="P108"/>
      <c r="Q108"/>
      <c r="R108"/>
      <c r="S108"/>
      <c r="T108"/>
    </row>
    <row r="109" spans="1:20">
      <c r="A109"/>
      <c r="B109"/>
      <c r="C109"/>
      <c r="D109" s="443"/>
      <c r="E109"/>
      <c r="F109"/>
      <c r="G109"/>
      <c r="H109"/>
      <c r="I109"/>
      <c r="J109"/>
      <c r="K109"/>
      <c r="L109"/>
      <c r="M109"/>
      <c r="N109"/>
      <c r="O109"/>
      <c r="P109"/>
      <c r="Q109"/>
      <c r="R109"/>
      <c r="S109"/>
      <c r="T109"/>
    </row>
    <row r="110" spans="1:20">
      <c r="A110"/>
      <c r="B110"/>
      <c r="C110"/>
      <c r="D110" s="443"/>
      <c r="E110"/>
      <c r="F110"/>
      <c r="G110"/>
      <c r="H110"/>
      <c r="I110"/>
      <c r="J110"/>
      <c r="K110"/>
      <c r="L110"/>
      <c r="M110"/>
      <c r="N110"/>
      <c r="O110"/>
      <c r="P110"/>
      <c r="Q110"/>
      <c r="R110"/>
      <c r="S110"/>
      <c r="T110"/>
    </row>
    <row r="111" spans="1:20">
      <c r="A111"/>
      <c r="B111"/>
      <c r="C111"/>
      <c r="D111" s="443"/>
      <c r="E111"/>
      <c r="F111"/>
      <c r="G111"/>
      <c r="H111"/>
      <c r="I111"/>
      <c r="J111"/>
      <c r="K111"/>
      <c r="L111"/>
      <c r="M111"/>
      <c r="N111"/>
      <c r="O111"/>
      <c r="P111"/>
      <c r="Q111"/>
      <c r="R111"/>
      <c r="S111"/>
      <c r="T111"/>
    </row>
    <row r="112" spans="1:20">
      <c r="A112"/>
      <c r="B112"/>
      <c r="C112"/>
      <c r="D112" s="443"/>
      <c r="E112"/>
      <c r="F112"/>
      <c r="G112"/>
      <c r="H112"/>
      <c r="I112"/>
      <c r="J112"/>
      <c r="K112"/>
      <c r="L112"/>
      <c r="M112"/>
      <c r="N112"/>
      <c r="O112"/>
      <c r="P112"/>
      <c r="Q112"/>
      <c r="R112"/>
      <c r="S112"/>
      <c r="T112"/>
    </row>
    <row r="113" spans="1:20">
      <c r="A113"/>
      <c r="B113"/>
      <c r="C113"/>
      <c r="D113" s="443"/>
      <c r="E113"/>
      <c r="F113"/>
      <c r="G113"/>
      <c r="H113"/>
      <c r="I113"/>
      <c r="J113"/>
      <c r="K113"/>
      <c r="L113"/>
      <c r="M113"/>
      <c r="N113"/>
      <c r="O113"/>
      <c r="P113"/>
      <c r="Q113"/>
      <c r="R113"/>
      <c r="S113"/>
      <c r="T113"/>
    </row>
    <row r="114" spans="1:20">
      <c r="A114"/>
      <c r="B114"/>
      <c r="C114"/>
      <c r="D114" s="443"/>
      <c r="E114"/>
      <c r="F114"/>
      <c r="G114"/>
      <c r="H114"/>
      <c r="I114"/>
      <c r="J114"/>
      <c r="K114"/>
      <c r="L114"/>
      <c r="M114"/>
      <c r="N114"/>
      <c r="O114"/>
      <c r="P114"/>
      <c r="Q114"/>
      <c r="R114"/>
      <c r="S114"/>
      <c r="T114"/>
    </row>
    <row r="115" spans="1:20">
      <c r="A115"/>
      <c r="B115"/>
      <c r="C115"/>
      <c r="D115" s="443"/>
      <c r="E115"/>
      <c r="F115"/>
      <c r="G115"/>
      <c r="H115"/>
      <c r="I115"/>
      <c r="J115"/>
      <c r="K115"/>
      <c r="L115"/>
      <c r="M115"/>
      <c r="N115"/>
      <c r="O115"/>
      <c r="P115"/>
      <c r="Q115"/>
      <c r="R115"/>
      <c r="S115"/>
      <c r="T115"/>
    </row>
    <row r="116" spans="1:20">
      <c r="A116"/>
      <c r="B116"/>
      <c r="C116"/>
      <c r="D116" s="443"/>
      <c r="E116"/>
      <c r="F116"/>
      <c r="G116"/>
      <c r="H116"/>
      <c r="I116"/>
      <c r="J116"/>
      <c r="K116"/>
      <c r="L116"/>
      <c r="M116"/>
      <c r="N116"/>
      <c r="O116"/>
      <c r="P116"/>
      <c r="Q116"/>
      <c r="R116"/>
      <c r="S116"/>
      <c r="T116"/>
    </row>
    <row r="117" spans="1:20">
      <c r="A117"/>
      <c r="B117"/>
      <c r="C117"/>
      <c r="D117" s="443"/>
      <c r="E117"/>
      <c r="F117"/>
      <c r="G117"/>
      <c r="H117"/>
      <c r="I117"/>
      <c r="J117"/>
      <c r="K117"/>
      <c r="L117"/>
      <c r="M117"/>
      <c r="N117"/>
      <c r="O117"/>
      <c r="P117"/>
      <c r="Q117"/>
      <c r="R117"/>
      <c r="S117"/>
      <c r="T117"/>
    </row>
    <row r="118" spans="1:20">
      <c r="A118"/>
      <c r="B118"/>
      <c r="C118"/>
      <c r="D118" s="443"/>
      <c r="E118"/>
      <c r="F118"/>
      <c r="G118"/>
      <c r="H118"/>
      <c r="I118"/>
      <c r="J118"/>
      <c r="K118"/>
      <c r="L118"/>
      <c r="M118"/>
      <c r="N118"/>
      <c r="O118"/>
      <c r="P118"/>
      <c r="Q118"/>
      <c r="R118"/>
      <c r="S118"/>
      <c r="T118"/>
    </row>
    <row r="119" spans="1:20">
      <c r="A119"/>
      <c r="B119"/>
      <c r="C119"/>
      <c r="D119" s="443"/>
      <c r="E119"/>
      <c r="F119"/>
      <c r="G119"/>
      <c r="H119"/>
      <c r="I119"/>
      <c r="J119"/>
      <c r="K119"/>
      <c r="L119"/>
      <c r="M119"/>
      <c r="N119"/>
      <c r="O119"/>
      <c r="P119"/>
      <c r="Q119"/>
      <c r="R119"/>
      <c r="S119"/>
      <c r="T119"/>
    </row>
    <row r="120" spans="1:20">
      <c r="A120"/>
      <c r="B120"/>
      <c r="C120"/>
      <c r="D120" s="443"/>
      <c r="E120"/>
      <c r="F120"/>
      <c r="G120"/>
      <c r="H120"/>
      <c r="I120"/>
      <c r="J120"/>
      <c r="K120"/>
      <c r="L120"/>
      <c r="M120"/>
      <c r="N120"/>
      <c r="O120"/>
      <c r="P120"/>
      <c r="Q120"/>
      <c r="R120"/>
      <c r="S120"/>
      <c r="T120"/>
    </row>
    <row r="121" spans="1:20">
      <c r="A121"/>
      <c r="B121"/>
      <c r="C121"/>
      <c r="D121" s="443"/>
      <c r="E121"/>
      <c r="F121"/>
      <c r="G121"/>
      <c r="H121"/>
      <c r="I121"/>
      <c r="J121"/>
      <c r="K121"/>
      <c r="L121"/>
      <c r="M121"/>
      <c r="N121"/>
      <c r="O121"/>
      <c r="P121"/>
      <c r="Q121"/>
      <c r="R121"/>
      <c r="S121"/>
      <c r="T121"/>
    </row>
    <row r="122" spans="1:20">
      <c r="A122"/>
      <c r="B122"/>
      <c r="C122"/>
      <c r="D122" s="443"/>
      <c r="E122"/>
      <c r="F122"/>
      <c r="G122"/>
      <c r="H122"/>
      <c r="I122"/>
      <c r="J122"/>
      <c r="K122"/>
      <c r="L122"/>
      <c r="M122"/>
      <c r="N122"/>
      <c r="O122"/>
      <c r="P122"/>
      <c r="Q122"/>
      <c r="R122"/>
      <c r="S122"/>
      <c r="T122"/>
    </row>
    <row r="123" spans="1:20">
      <c r="A123"/>
      <c r="B123"/>
      <c r="C123"/>
      <c r="D123" s="443"/>
      <c r="E123"/>
      <c r="F123"/>
      <c r="G123"/>
      <c r="H123"/>
      <c r="I123"/>
      <c r="J123"/>
      <c r="K123"/>
      <c r="L123"/>
      <c r="M123"/>
      <c r="N123"/>
      <c r="O123"/>
      <c r="P123"/>
      <c r="Q123"/>
      <c r="R123"/>
      <c r="S123"/>
      <c r="T123"/>
    </row>
    <row r="124" spans="1:20">
      <c r="A124"/>
      <c r="B124"/>
      <c r="C124"/>
      <c r="D124" s="443"/>
      <c r="E124"/>
      <c r="F124"/>
      <c r="G124"/>
      <c r="H124"/>
      <c r="I124"/>
      <c r="J124"/>
      <c r="K124"/>
      <c r="L124"/>
      <c r="M124"/>
      <c r="N124"/>
      <c r="O124"/>
      <c r="P124"/>
      <c r="Q124"/>
      <c r="R124"/>
      <c r="S124"/>
      <c r="T124"/>
    </row>
    <row r="125" spans="1:20">
      <c r="A125"/>
      <c r="B125"/>
      <c r="C125"/>
      <c r="D125" s="443"/>
      <c r="E125"/>
      <c r="F125"/>
      <c r="G125"/>
      <c r="H125"/>
      <c r="I125"/>
      <c r="J125"/>
      <c r="K125"/>
      <c r="L125"/>
      <c r="M125"/>
      <c r="N125"/>
      <c r="O125"/>
      <c r="P125"/>
      <c r="Q125"/>
      <c r="R125"/>
      <c r="S125"/>
      <c r="T125"/>
    </row>
    <row r="126" spans="1:20">
      <c r="A126"/>
      <c r="B126"/>
      <c r="C126"/>
      <c r="D126" s="443"/>
      <c r="E126"/>
      <c r="F126"/>
      <c r="G126"/>
      <c r="H126"/>
      <c r="I126"/>
      <c r="J126"/>
      <c r="K126"/>
      <c r="L126"/>
      <c r="M126"/>
      <c r="N126"/>
      <c r="O126"/>
      <c r="P126"/>
      <c r="Q126"/>
      <c r="R126"/>
      <c r="S126"/>
      <c r="T126"/>
    </row>
    <row r="127" spans="1:20">
      <c r="A127"/>
      <c r="B127"/>
      <c r="C127"/>
      <c r="D127" s="443"/>
      <c r="E127"/>
      <c r="F127"/>
      <c r="G127"/>
      <c r="H127"/>
      <c r="I127"/>
      <c r="J127"/>
      <c r="K127"/>
      <c r="L127"/>
      <c r="M127"/>
      <c r="N127"/>
      <c r="O127"/>
      <c r="P127"/>
      <c r="Q127"/>
      <c r="R127"/>
      <c r="S127"/>
      <c r="T127"/>
    </row>
    <row r="128" spans="1:20">
      <c r="A128"/>
      <c r="B128"/>
      <c r="C128"/>
      <c r="D128" s="443"/>
      <c r="E128"/>
      <c r="F128"/>
      <c r="G128"/>
      <c r="H128"/>
      <c r="I128"/>
      <c r="J128"/>
      <c r="K128"/>
      <c r="L128"/>
      <c r="M128"/>
      <c r="N128"/>
      <c r="O128"/>
      <c r="P128"/>
      <c r="Q128"/>
      <c r="R128"/>
      <c r="S128"/>
      <c r="T128"/>
    </row>
    <row r="129" spans="1:20">
      <c r="A129"/>
      <c r="B129"/>
      <c r="C129"/>
      <c r="D129" s="443"/>
      <c r="E129"/>
      <c r="F129"/>
      <c r="G129"/>
      <c r="H129"/>
      <c r="I129"/>
      <c r="J129"/>
      <c r="K129"/>
      <c r="L129"/>
      <c r="M129"/>
      <c r="N129"/>
      <c r="O129"/>
      <c r="P129"/>
      <c r="Q129"/>
      <c r="R129"/>
      <c r="S129"/>
      <c r="T129"/>
    </row>
    <row r="130" spans="1:20">
      <c r="A130"/>
      <c r="B130"/>
      <c r="C130"/>
      <c r="D130" s="443"/>
      <c r="E130"/>
      <c r="F130"/>
      <c r="G130"/>
      <c r="H130"/>
      <c r="I130"/>
      <c r="J130"/>
      <c r="K130"/>
      <c r="L130"/>
      <c r="M130"/>
      <c r="N130"/>
      <c r="O130"/>
      <c r="P130"/>
      <c r="Q130"/>
      <c r="R130"/>
      <c r="S130"/>
      <c r="T130"/>
    </row>
    <row r="131" spans="1:20">
      <c r="A131"/>
      <c r="B131"/>
      <c r="C131"/>
      <c r="D131" s="443"/>
      <c r="E131"/>
      <c r="F131"/>
      <c r="G131"/>
      <c r="H131"/>
      <c r="I131"/>
      <c r="J131"/>
      <c r="K131"/>
      <c r="L131"/>
      <c r="M131"/>
      <c r="N131"/>
      <c r="O131"/>
      <c r="P131"/>
      <c r="Q131"/>
      <c r="R131"/>
      <c r="S131"/>
      <c r="T131"/>
    </row>
    <row r="132" spans="1:20">
      <c r="A132"/>
      <c r="B132"/>
      <c r="C132"/>
      <c r="D132" s="443"/>
      <c r="E132"/>
      <c r="F132"/>
      <c r="G132"/>
      <c r="H132"/>
      <c r="I132"/>
      <c r="J132"/>
      <c r="K132"/>
      <c r="L132"/>
      <c r="M132"/>
      <c r="N132"/>
      <c r="O132"/>
      <c r="P132"/>
      <c r="Q132"/>
      <c r="R132"/>
      <c r="S132"/>
      <c r="T132"/>
    </row>
    <row r="133" spans="1:20">
      <c r="A133"/>
      <c r="B133"/>
      <c r="C133"/>
      <c r="D133" s="443"/>
      <c r="E133"/>
      <c r="F133"/>
      <c r="G133"/>
      <c r="H133"/>
      <c r="I133"/>
      <c r="J133"/>
      <c r="K133"/>
      <c r="L133"/>
      <c r="M133"/>
      <c r="N133"/>
      <c r="O133"/>
      <c r="P133"/>
      <c r="Q133"/>
      <c r="R133"/>
      <c r="S133"/>
      <c r="T133"/>
    </row>
    <row r="134" spans="1:20">
      <c r="A134"/>
      <c r="B134"/>
      <c r="C134"/>
      <c r="D134" s="443"/>
      <c r="E134"/>
      <c r="F134"/>
      <c r="G134"/>
      <c r="H134"/>
      <c r="I134"/>
      <c r="J134"/>
      <c r="K134"/>
      <c r="L134"/>
      <c r="M134"/>
      <c r="N134"/>
      <c r="O134"/>
      <c r="P134"/>
      <c r="Q134"/>
      <c r="R134"/>
      <c r="S134"/>
      <c r="T134"/>
    </row>
    <row r="135" spans="1:20">
      <c r="A135"/>
      <c r="B135"/>
      <c r="C135"/>
      <c r="D135" s="443"/>
      <c r="E135"/>
      <c r="F135"/>
      <c r="G135"/>
      <c r="H135"/>
      <c r="I135"/>
      <c r="J135"/>
      <c r="K135"/>
      <c r="L135"/>
      <c r="M135"/>
      <c r="N135"/>
      <c r="O135"/>
      <c r="P135"/>
      <c r="Q135"/>
      <c r="R135"/>
      <c r="S135"/>
      <c r="T135"/>
    </row>
    <row r="136" spans="1:20">
      <c r="A136"/>
      <c r="B136"/>
      <c r="C136"/>
      <c r="D136" s="443"/>
      <c r="E136"/>
      <c r="F136"/>
      <c r="G136"/>
      <c r="H136"/>
      <c r="I136"/>
      <c r="J136"/>
      <c r="K136"/>
      <c r="L136"/>
      <c r="M136"/>
      <c r="N136"/>
      <c r="O136"/>
      <c r="P136"/>
      <c r="Q136"/>
      <c r="R136"/>
      <c r="S136"/>
      <c r="T136"/>
    </row>
    <row r="137" spans="1:20">
      <c r="A137"/>
      <c r="B137"/>
      <c r="C137"/>
      <c r="D137" s="443"/>
      <c r="E137"/>
      <c r="F137"/>
      <c r="G137"/>
      <c r="H137"/>
      <c r="I137"/>
      <c r="J137"/>
      <c r="K137"/>
      <c r="L137"/>
      <c r="M137"/>
      <c r="N137"/>
      <c r="O137"/>
      <c r="P137"/>
      <c r="Q137"/>
      <c r="R137"/>
      <c r="S137"/>
      <c r="T137"/>
    </row>
    <row r="138" spans="1:20">
      <c r="A138"/>
      <c r="B138"/>
      <c r="C138"/>
      <c r="D138" s="443"/>
      <c r="E138"/>
      <c r="F138"/>
      <c r="G138"/>
      <c r="H138"/>
      <c r="I138"/>
      <c r="J138"/>
      <c r="K138"/>
      <c r="L138"/>
      <c r="M138"/>
      <c r="N138"/>
      <c r="O138"/>
      <c r="P138"/>
      <c r="Q138"/>
      <c r="R138"/>
      <c r="S138"/>
      <c r="T138"/>
    </row>
    <row r="139" spans="1:20">
      <c r="A139"/>
      <c r="B139"/>
      <c r="C139"/>
      <c r="D139" s="443"/>
      <c r="E139"/>
      <c r="F139"/>
      <c r="G139"/>
      <c r="H139"/>
      <c r="I139"/>
      <c r="J139"/>
      <c r="K139"/>
      <c r="L139"/>
      <c r="M139"/>
      <c r="N139"/>
      <c r="O139"/>
      <c r="P139"/>
      <c r="Q139"/>
      <c r="R139"/>
      <c r="S139"/>
      <c r="T139"/>
    </row>
    <row r="140" spans="1:20">
      <c r="A140"/>
      <c r="B140"/>
      <c r="C140"/>
      <c r="D140" s="443"/>
      <c r="E140"/>
      <c r="F140"/>
      <c r="G140"/>
      <c r="H140"/>
      <c r="I140"/>
      <c r="J140"/>
      <c r="K140"/>
      <c r="L140"/>
      <c r="M140"/>
      <c r="N140"/>
      <c r="O140"/>
      <c r="P140"/>
      <c r="Q140"/>
      <c r="R140"/>
      <c r="S140"/>
      <c r="T140"/>
    </row>
    <row r="141" spans="1:20">
      <c r="A141"/>
      <c r="B141"/>
      <c r="C141"/>
      <c r="D141" s="443"/>
      <c r="E141"/>
      <c r="F141"/>
      <c r="G141"/>
      <c r="H141"/>
      <c r="I141"/>
      <c r="J141"/>
      <c r="K141"/>
      <c r="L141"/>
      <c r="M141"/>
      <c r="N141"/>
      <c r="O141"/>
      <c r="P141"/>
      <c r="Q141"/>
      <c r="R141"/>
      <c r="S141"/>
      <c r="T141"/>
    </row>
    <row r="142" spans="1:20">
      <c r="A142"/>
      <c r="B142"/>
      <c r="C142"/>
      <c r="D142" s="443"/>
      <c r="E142"/>
      <c r="F142"/>
      <c r="G142"/>
      <c r="H142"/>
      <c r="I142"/>
      <c r="J142"/>
      <c r="K142"/>
      <c r="L142"/>
      <c r="M142"/>
      <c r="N142"/>
      <c r="O142"/>
      <c r="P142"/>
      <c r="Q142"/>
      <c r="R142"/>
      <c r="S142"/>
      <c r="T142"/>
    </row>
    <row r="143" spans="1:20">
      <c r="A143"/>
      <c r="B143"/>
      <c r="C143"/>
      <c r="D143" s="443"/>
      <c r="E143"/>
      <c r="F143"/>
      <c r="G143"/>
      <c r="H143"/>
      <c r="I143"/>
      <c r="J143"/>
      <c r="K143"/>
      <c r="L143"/>
      <c r="M143"/>
      <c r="N143"/>
      <c r="O143"/>
      <c r="P143"/>
      <c r="Q143"/>
      <c r="R143"/>
      <c r="S143"/>
      <c r="T143"/>
    </row>
    <row r="144" spans="1:20">
      <c r="A144"/>
      <c r="B144"/>
      <c r="C144"/>
      <c r="D144" s="443"/>
      <c r="E144"/>
      <c r="F144"/>
      <c r="G144"/>
      <c r="H144"/>
      <c r="I144"/>
      <c r="J144"/>
      <c r="K144"/>
      <c r="L144"/>
      <c r="M144"/>
      <c r="N144"/>
      <c r="O144"/>
      <c r="P144"/>
      <c r="Q144"/>
      <c r="R144"/>
      <c r="S144"/>
      <c r="T144"/>
    </row>
    <row r="145" spans="1:20">
      <c r="A145"/>
      <c r="B145"/>
      <c r="C145"/>
      <c r="D145" s="443"/>
      <c r="E145"/>
      <c r="F145"/>
      <c r="G145"/>
      <c r="H145"/>
      <c r="I145"/>
      <c r="J145"/>
      <c r="K145"/>
      <c r="L145"/>
      <c r="M145"/>
      <c r="N145"/>
      <c r="O145"/>
      <c r="P145"/>
      <c r="Q145"/>
      <c r="R145"/>
      <c r="S145"/>
      <c r="T145"/>
    </row>
    <row r="146" spans="1:20">
      <c r="A146"/>
      <c r="B146"/>
      <c r="C146"/>
      <c r="D146" s="443"/>
      <c r="E146"/>
      <c r="F146"/>
      <c r="G146"/>
      <c r="H146"/>
      <c r="I146"/>
      <c r="J146"/>
      <c r="K146"/>
      <c r="L146"/>
      <c r="M146"/>
      <c r="N146"/>
      <c r="O146"/>
      <c r="P146"/>
      <c r="Q146"/>
      <c r="R146"/>
      <c r="S146"/>
      <c r="T146"/>
    </row>
    <row r="147" spans="1:20">
      <c r="A147"/>
      <c r="B147"/>
      <c r="C147"/>
      <c r="D147" s="443"/>
      <c r="E147"/>
      <c r="F147"/>
      <c r="G147"/>
      <c r="H147"/>
      <c r="I147"/>
      <c r="J147"/>
      <c r="K147"/>
      <c r="L147"/>
      <c r="M147"/>
      <c r="N147"/>
      <c r="O147"/>
      <c r="P147"/>
      <c r="Q147"/>
      <c r="R147"/>
      <c r="S147"/>
      <c r="T147"/>
    </row>
    <row r="148" spans="1:20">
      <c r="A148"/>
      <c r="B148"/>
      <c r="C148"/>
      <c r="D148" s="443"/>
      <c r="E148"/>
      <c r="F148"/>
      <c r="G148"/>
      <c r="H148"/>
      <c r="I148"/>
      <c r="J148"/>
      <c r="K148"/>
      <c r="L148"/>
      <c r="M148"/>
      <c r="N148"/>
      <c r="O148"/>
      <c r="P148"/>
      <c r="Q148"/>
      <c r="R148"/>
      <c r="S148"/>
      <c r="T148"/>
    </row>
    <row r="149" spans="1:20">
      <c r="A149"/>
      <c r="B149"/>
      <c r="C149"/>
      <c r="D149" s="443"/>
      <c r="E149"/>
      <c r="F149"/>
      <c r="G149"/>
      <c r="H149"/>
      <c r="I149"/>
      <c r="J149"/>
      <c r="K149"/>
      <c r="L149"/>
      <c r="M149"/>
      <c r="N149"/>
      <c r="O149"/>
      <c r="P149"/>
      <c r="Q149"/>
      <c r="R149"/>
      <c r="S149"/>
      <c r="T149"/>
    </row>
    <row r="150" spans="1:20">
      <c r="A150"/>
      <c r="B150"/>
      <c r="C150"/>
      <c r="D150" s="443"/>
      <c r="E150"/>
      <c r="F150"/>
      <c r="G150"/>
      <c r="H150"/>
      <c r="I150"/>
      <c r="J150"/>
      <c r="K150"/>
      <c r="L150"/>
      <c r="M150"/>
      <c r="N150"/>
      <c r="O150"/>
      <c r="P150"/>
      <c r="Q150"/>
      <c r="R150"/>
      <c r="S150"/>
      <c r="T150"/>
    </row>
    <row r="151" spans="1:20">
      <c r="A151"/>
      <c r="B151"/>
      <c r="C151"/>
      <c r="D151" s="443"/>
      <c r="E151"/>
      <c r="F151"/>
      <c r="G151"/>
      <c r="H151"/>
      <c r="I151"/>
      <c r="J151"/>
      <c r="K151"/>
      <c r="L151"/>
      <c r="M151"/>
      <c r="N151"/>
      <c r="O151"/>
      <c r="P151"/>
      <c r="Q151"/>
      <c r="R151"/>
      <c r="S151"/>
      <c r="T151"/>
    </row>
    <row r="152" spans="1:20">
      <c r="A152"/>
      <c r="B152"/>
      <c r="C152"/>
      <c r="D152" s="443"/>
      <c r="E152"/>
      <c r="F152"/>
      <c r="G152"/>
      <c r="H152"/>
      <c r="I152"/>
      <c r="J152"/>
      <c r="K152"/>
      <c r="L152"/>
      <c r="M152"/>
      <c r="N152"/>
      <c r="O152"/>
      <c r="P152"/>
      <c r="Q152"/>
      <c r="R152"/>
      <c r="S152"/>
      <c r="T152"/>
    </row>
    <row r="153" spans="1:20">
      <c r="A153"/>
      <c r="B153"/>
      <c r="C153"/>
      <c r="D153" s="443"/>
      <c r="E153"/>
      <c r="F153"/>
      <c r="G153"/>
      <c r="H153"/>
      <c r="I153"/>
      <c r="J153"/>
      <c r="K153"/>
      <c r="L153"/>
      <c r="M153"/>
      <c r="N153"/>
      <c r="O153"/>
      <c r="P153"/>
      <c r="Q153"/>
      <c r="R153"/>
      <c r="S153"/>
      <c r="T153"/>
    </row>
    <row r="154" spans="1:20">
      <c r="A154"/>
      <c r="B154"/>
      <c r="C154"/>
      <c r="D154" s="443"/>
      <c r="E154"/>
      <c r="F154"/>
      <c r="G154"/>
      <c r="H154"/>
      <c r="I154"/>
      <c r="J154"/>
      <c r="K154"/>
      <c r="L154"/>
      <c r="M154"/>
      <c r="N154"/>
      <c r="O154"/>
      <c r="P154"/>
      <c r="Q154"/>
      <c r="R154"/>
      <c r="S154"/>
      <c r="T154"/>
    </row>
    <row r="155" spans="1:20">
      <c r="A155"/>
      <c r="B155"/>
      <c r="C155"/>
      <c r="D155" s="443"/>
      <c r="E155"/>
      <c r="F155"/>
      <c r="G155"/>
      <c r="H155"/>
      <c r="I155"/>
      <c r="J155"/>
      <c r="K155"/>
      <c r="L155"/>
      <c r="M155"/>
      <c r="N155"/>
      <c r="O155"/>
      <c r="P155"/>
      <c r="Q155"/>
      <c r="R155"/>
      <c r="S155"/>
      <c r="T155"/>
    </row>
    <row r="156" spans="1:20">
      <c r="A156"/>
      <c r="B156"/>
      <c r="C156"/>
      <c r="D156" s="443"/>
      <c r="E156"/>
      <c r="F156"/>
      <c r="G156"/>
      <c r="H156"/>
      <c r="I156"/>
      <c r="J156"/>
      <c r="K156"/>
      <c r="L156"/>
      <c r="M156"/>
      <c r="N156"/>
      <c r="O156"/>
      <c r="P156"/>
      <c r="Q156"/>
      <c r="R156"/>
      <c r="S156"/>
      <c r="T156"/>
    </row>
    <row r="157" spans="1:20">
      <c r="A157"/>
      <c r="B157"/>
      <c r="C157"/>
      <c r="D157" s="443"/>
      <c r="E157"/>
      <c r="F157"/>
      <c r="G157"/>
      <c r="H157"/>
      <c r="I157"/>
      <c r="J157"/>
      <c r="K157"/>
      <c r="L157"/>
      <c r="M157"/>
      <c r="N157"/>
      <c r="O157"/>
      <c r="P157"/>
      <c r="Q157"/>
      <c r="R157"/>
      <c r="S157"/>
      <c r="T157"/>
    </row>
    <row r="158" spans="1:20">
      <c r="A158"/>
      <c r="B158"/>
      <c r="C158"/>
      <c r="D158" s="443"/>
      <c r="E158"/>
      <c r="F158"/>
      <c r="G158"/>
      <c r="H158"/>
      <c r="I158"/>
      <c r="J158"/>
      <c r="K158"/>
      <c r="L158"/>
      <c r="M158"/>
      <c r="N158"/>
      <c r="O158"/>
      <c r="P158"/>
      <c r="Q158"/>
      <c r="R158"/>
      <c r="S158"/>
      <c r="T158"/>
    </row>
    <row r="159" spans="1:20">
      <c r="A159"/>
      <c r="B159"/>
      <c r="C159"/>
      <c r="D159" s="443"/>
      <c r="E159"/>
      <c r="F159"/>
      <c r="G159"/>
      <c r="H159"/>
      <c r="I159"/>
      <c r="J159"/>
      <c r="K159"/>
      <c r="L159"/>
      <c r="M159"/>
      <c r="N159"/>
      <c r="O159"/>
      <c r="P159"/>
      <c r="Q159"/>
      <c r="R159"/>
      <c r="S159"/>
      <c r="T159"/>
    </row>
    <row r="160" spans="1:20">
      <c r="A160"/>
      <c r="B160"/>
      <c r="C160"/>
      <c r="D160" s="443"/>
      <c r="E160"/>
      <c r="F160"/>
      <c r="G160"/>
      <c r="H160"/>
      <c r="I160"/>
      <c r="J160"/>
      <c r="K160"/>
      <c r="L160"/>
      <c r="M160"/>
      <c r="N160"/>
      <c r="O160"/>
      <c r="P160"/>
      <c r="Q160"/>
      <c r="R160"/>
      <c r="S160"/>
      <c r="T160"/>
    </row>
    <row r="161" spans="1:20">
      <c r="A161"/>
      <c r="B161"/>
      <c r="C161"/>
      <c r="D161" s="443"/>
      <c r="E161"/>
      <c r="F161"/>
      <c r="G161"/>
      <c r="H161"/>
      <c r="I161"/>
      <c r="J161"/>
      <c r="K161"/>
      <c r="L161"/>
      <c r="M161"/>
      <c r="N161"/>
      <c r="O161"/>
      <c r="P161"/>
      <c r="Q161"/>
      <c r="R161"/>
      <c r="S161"/>
      <c r="T161"/>
    </row>
    <row r="162" spans="1:20">
      <c r="A162"/>
      <c r="B162"/>
      <c r="C162"/>
      <c r="D162" s="443"/>
      <c r="E162"/>
      <c r="F162"/>
      <c r="G162"/>
      <c r="H162"/>
      <c r="I162"/>
      <c r="J162"/>
      <c r="K162"/>
      <c r="L162"/>
      <c r="M162"/>
      <c r="N162"/>
      <c r="O162"/>
      <c r="P162"/>
      <c r="Q162"/>
      <c r="R162"/>
      <c r="S162"/>
      <c r="T162"/>
    </row>
    <row r="163" spans="1:20">
      <c r="A163"/>
      <c r="B163"/>
      <c r="C163"/>
      <c r="D163" s="443"/>
      <c r="E163"/>
      <c r="F163"/>
      <c r="G163"/>
      <c r="H163"/>
      <c r="I163"/>
      <c r="J163"/>
      <c r="K163"/>
      <c r="L163"/>
      <c r="M163"/>
      <c r="N163"/>
      <c r="O163"/>
      <c r="P163"/>
      <c r="Q163"/>
      <c r="R163"/>
      <c r="S163"/>
      <c r="T163"/>
    </row>
    <row r="164" spans="1:20">
      <c r="A164"/>
      <c r="B164"/>
      <c r="C164"/>
      <c r="D164" s="443"/>
      <c r="E164"/>
      <c r="F164"/>
      <c r="G164"/>
      <c r="H164"/>
      <c r="I164"/>
      <c r="J164"/>
      <c r="K164"/>
      <c r="L164"/>
      <c r="M164"/>
      <c r="N164"/>
      <c r="O164"/>
      <c r="P164"/>
      <c r="Q164"/>
      <c r="R164"/>
      <c r="S164"/>
      <c r="T164"/>
    </row>
    <row r="165" spans="1:20">
      <c r="A165"/>
      <c r="B165"/>
      <c r="C165"/>
      <c r="D165" s="443"/>
      <c r="E165"/>
      <c r="F165"/>
      <c r="G165"/>
      <c r="H165"/>
      <c r="I165"/>
      <c r="J165"/>
      <c r="K165"/>
      <c r="L165"/>
      <c r="M165"/>
      <c r="N165"/>
      <c r="O165"/>
      <c r="P165"/>
      <c r="Q165"/>
      <c r="R165"/>
      <c r="S165"/>
      <c r="T165"/>
    </row>
    <row r="166" spans="1:20">
      <c r="A166"/>
      <c r="B166"/>
      <c r="C166"/>
      <c r="D166" s="443"/>
      <c r="E166"/>
      <c r="F166"/>
      <c r="G166"/>
      <c r="H166"/>
      <c r="I166"/>
      <c r="J166"/>
      <c r="K166"/>
      <c r="L166"/>
      <c r="M166"/>
      <c r="N166"/>
      <c r="O166"/>
      <c r="P166"/>
      <c r="Q166"/>
      <c r="R166"/>
      <c r="S166"/>
      <c r="T166"/>
    </row>
    <row r="167" spans="1:20">
      <c r="A167"/>
      <c r="B167"/>
      <c r="C167"/>
      <c r="D167" s="443"/>
      <c r="E167"/>
      <c r="F167"/>
      <c r="G167"/>
      <c r="H167"/>
      <c r="I167"/>
      <c r="J167"/>
      <c r="K167"/>
      <c r="L167"/>
      <c r="M167"/>
      <c r="N167"/>
      <c r="O167"/>
      <c r="P167"/>
      <c r="Q167"/>
      <c r="R167"/>
      <c r="S167"/>
      <c r="T167"/>
    </row>
    <row r="168" spans="1:20">
      <c r="A168"/>
      <c r="B168"/>
      <c r="C168"/>
      <c r="D168" s="443"/>
      <c r="E168"/>
      <c r="F168"/>
      <c r="G168"/>
      <c r="H168"/>
      <c r="I168"/>
      <c r="J168"/>
      <c r="K168"/>
      <c r="L168"/>
      <c r="M168"/>
      <c r="N168"/>
      <c r="O168"/>
      <c r="P168"/>
      <c r="Q168"/>
      <c r="R168"/>
      <c r="S168"/>
      <c r="T168"/>
    </row>
    <row r="169" spans="1:20">
      <c r="A169"/>
      <c r="B169"/>
      <c r="C169"/>
      <c r="D169" s="443"/>
      <c r="E169"/>
      <c r="F169"/>
      <c r="G169"/>
      <c r="H169"/>
      <c r="I169"/>
      <c r="J169"/>
      <c r="K169"/>
      <c r="L169"/>
      <c r="M169"/>
      <c r="N169"/>
      <c r="O169"/>
      <c r="P169"/>
      <c r="Q169"/>
      <c r="R169"/>
      <c r="S169"/>
      <c r="T169"/>
    </row>
    <row r="170" spans="1:20">
      <c r="A170"/>
      <c r="B170"/>
      <c r="C170"/>
      <c r="D170" s="443"/>
      <c r="E170"/>
      <c r="F170"/>
      <c r="G170"/>
      <c r="H170"/>
      <c r="I170"/>
      <c r="J170"/>
      <c r="K170"/>
      <c r="L170"/>
      <c r="M170"/>
      <c r="N170"/>
      <c r="O170"/>
      <c r="P170"/>
      <c r="Q170"/>
      <c r="R170"/>
      <c r="S170"/>
      <c r="T170"/>
    </row>
    <row r="171" spans="1:20">
      <c r="A171"/>
      <c r="B171"/>
      <c r="C171"/>
      <c r="D171" s="443"/>
      <c r="E171"/>
      <c r="F171"/>
      <c r="G171"/>
      <c r="H171"/>
      <c r="I171"/>
      <c r="J171"/>
      <c r="K171"/>
      <c r="L171"/>
      <c r="M171"/>
      <c r="N171"/>
      <c r="O171"/>
      <c r="P171"/>
      <c r="Q171"/>
      <c r="R171"/>
      <c r="S171"/>
      <c r="T171"/>
    </row>
    <row r="172" spans="1:20">
      <c r="A172"/>
      <c r="B172"/>
      <c r="C172"/>
      <c r="D172" s="443"/>
      <c r="E172"/>
      <c r="F172"/>
      <c r="G172"/>
      <c r="H172"/>
      <c r="I172"/>
      <c r="J172"/>
      <c r="K172"/>
      <c r="L172"/>
      <c r="M172"/>
      <c r="N172"/>
      <c r="O172"/>
      <c r="P172"/>
      <c r="Q172"/>
      <c r="R172"/>
      <c r="S172"/>
      <c r="T172"/>
    </row>
    <row r="173" spans="1:20">
      <c r="A173"/>
      <c r="B173"/>
      <c r="C173"/>
      <c r="D173" s="443"/>
      <c r="E173"/>
      <c r="F173"/>
      <c r="G173"/>
      <c r="H173"/>
      <c r="I173"/>
      <c r="J173"/>
      <c r="K173"/>
      <c r="L173"/>
      <c r="M173"/>
      <c r="N173"/>
      <c r="O173"/>
      <c r="P173"/>
      <c r="Q173"/>
      <c r="R173"/>
      <c r="S173"/>
      <c r="T173"/>
    </row>
    <row r="174" spans="1:20">
      <c r="A174"/>
      <c r="B174"/>
      <c r="C174"/>
      <c r="D174" s="443"/>
      <c r="E174"/>
      <c r="F174"/>
      <c r="G174"/>
      <c r="H174"/>
      <c r="I174"/>
      <c r="J174"/>
      <c r="K174"/>
      <c r="L174"/>
      <c r="M174"/>
      <c r="N174"/>
      <c r="O174"/>
      <c r="P174"/>
      <c r="Q174"/>
      <c r="R174"/>
      <c r="S174"/>
      <c r="T174"/>
    </row>
    <row r="175" spans="1:20">
      <c r="A175"/>
      <c r="B175"/>
      <c r="C175"/>
      <c r="D175" s="443"/>
      <c r="E175"/>
      <c r="F175"/>
      <c r="G175"/>
      <c r="H175"/>
      <c r="I175"/>
      <c r="J175"/>
      <c r="K175"/>
      <c r="L175"/>
      <c r="M175"/>
      <c r="N175"/>
      <c r="O175"/>
      <c r="P175"/>
      <c r="Q175"/>
      <c r="R175"/>
      <c r="S175"/>
      <c r="T175"/>
    </row>
    <row r="176" spans="1:20">
      <c r="A176"/>
      <c r="B176"/>
      <c r="C176"/>
      <c r="D176" s="443"/>
      <c r="E176"/>
      <c r="F176"/>
      <c r="G176"/>
      <c r="H176"/>
      <c r="I176"/>
      <c r="J176"/>
      <c r="K176"/>
      <c r="L176"/>
      <c r="M176"/>
      <c r="N176"/>
      <c r="O176"/>
      <c r="P176"/>
      <c r="Q176"/>
      <c r="R176"/>
      <c r="S176"/>
      <c r="T176"/>
    </row>
    <row r="177" spans="1:20">
      <c r="A177"/>
      <c r="B177"/>
      <c r="C177"/>
      <c r="D177" s="443"/>
      <c r="E177"/>
      <c r="F177"/>
      <c r="G177"/>
      <c r="H177"/>
      <c r="I177"/>
      <c r="J177"/>
      <c r="K177"/>
      <c r="L177"/>
      <c r="M177"/>
      <c r="N177"/>
      <c r="O177"/>
      <c r="P177"/>
      <c r="Q177"/>
      <c r="R177"/>
      <c r="S177"/>
      <c r="T177"/>
    </row>
    <row r="178" spans="1:20">
      <c r="A178"/>
      <c r="B178"/>
      <c r="C178"/>
      <c r="D178" s="443"/>
      <c r="E178"/>
      <c r="F178"/>
      <c r="G178"/>
      <c r="H178"/>
      <c r="I178"/>
      <c r="J178"/>
      <c r="K178"/>
      <c r="L178"/>
      <c r="M178"/>
      <c r="N178"/>
      <c r="O178"/>
      <c r="P178"/>
      <c r="Q178"/>
      <c r="R178"/>
      <c r="S178"/>
      <c r="T178"/>
    </row>
    <row r="179" spans="1:20">
      <c r="A179"/>
      <c r="B179"/>
      <c r="C179"/>
      <c r="D179" s="443"/>
      <c r="E179"/>
      <c r="F179"/>
      <c r="G179"/>
      <c r="H179"/>
      <c r="I179"/>
      <c r="J179"/>
      <c r="K179"/>
      <c r="L179"/>
      <c r="M179"/>
      <c r="N179"/>
      <c r="O179"/>
      <c r="P179"/>
      <c r="Q179"/>
      <c r="R179"/>
      <c r="S179"/>
      <c r="T179"/>
    </row>
    <row r="180" spans="1:20">
      <c r="A180"/>
      <c r="B180"/>
      <c r="C180"/>
      <c r="D180" s="443"/>
      <c r="E180"/>
      <c r="F180"/>
      <c r="G180"/>
      <c r="H180"/>
      <c r="I180"/>
      <c r="J180"/>
      <c r="K180"/>
      <c r="L180"/>
      <c r="M180"/>
      <c r="N180"/>
      <c r="O180"/>
      <c r="P180"/>
      <c r="Q180"/>
      <c r="R180"/>
      <c r="S180"/>
      <c r="T180"/>
    </row>
    <row r="181" spans="1:20">
      <c r="A181"/>
      <c r="B181"/>
      <c r="C181"/>
      <c r="D181" s="443"/>
      <c r="E181"/>
      <c r="F181"/>
      <c r="G181"/>
      <c r="H181"/>
      <c r="I181"/>
      <c r="J181"/>
      <c r="K181"/>
      <c r="L181"/>
      <c r="M181"/>
      <c r="N181"/>
      <c r="O181"/>
      <c r="P181"/>
      <c r="Q181"/>
      <c r="R181"/>
      <c r="S181"/>
      <c r="T181"/>
    </row>
    <row r="182" spans="1:20">
      <c r="A182"/>
      <c r="B182"/>
      <c r="C182"/>
      <c r="D182" s="443"/>
      <c r="E182"/>
      <c r="F182"/>
      <c r="G182"/>
      <c r="H182"/>
      <c r="I182"/>
      <c r="J182"/>
      <c r="K182"/>
      <c r="L182"/>
      <c r="M182"/>
      <c r="N182"/>
      <c r="O182"/>
      <c r="P182"/>
      <c r="Q182"/>
      <c r="R182"/>
      <c r="S182"/>
      <c r="T182"/>
    </row>
    <row r="183" spans="1:20">
      <c r="A183"/>
      <c r="B183"/>
      <c r="C183"/>
      <c r="D183" s="443"/>
      <c r="E183"/>
      <c r="F183"/>
      <c r="G183"/>
      <c r="H183"/>
      <c r="I183"/>
      <c r="J183"/>
      <c r="K183"/>
      <c r="L183"/>
      <c r="M183"/>
      <c r="N183"/>
      <c r="O183"/>
      <c r="P183"/>
      <c r="Q183"/>
      <c r="R183"/>
      <c r="S183"/>
      <c r="T183"/>
    </row>
    <row r="184" spans="1:20">
      <c r="A184"/>
      <c r="B184"/>
      <c r="C184"/>
      <c r="D184" s="443"/>
      <c r="E184"/>
      <c r="F184"/>
      <c r="G184"/>
      <c r="H184"/>
      <c r="I184"/>
      <c r="J184"/>
      <c r="K184"/>
      <c r="L184"/>
      <c r="M184"/>
      <c r="N184"/>
      <c r="O184"/>
      <c r="P184"/>
      <c r="Q184"/>
      <c r="R184"/>
      <c r="S184"/>
      <c r="T184"/>
    </row>
    <row r="185" spans="1:20">
      <c r="A185"/>
      <c r="B185"/>
      <c r="C185"/>
      <c r="D185" s="443"/>
      <c r="E185"/>
      <c r="F185"/>
      <c r="G185"/>
      <c r="H185"/>
      <c r="I185"/>
      <c r="J185"/>
      <c r="K185"/>
      <c r="L185"/>
      <c r="M185"/>
      <c r="N185"/>
      <c r="O185"/>
      <c r="P185"/>
      <c r="Q185"/>
      <c r="R185"/>
      <c r="S185"/>
      <c r="T185"/>
    </row>
    <row r="186" spans="1:20">
      <c r="A186"/>
      <c r="B186"/>
      <c r="C186"/>
      <c r="D186" s="443"/>
      <c r="E186"/>
      <c r="F186"/>
      <c r="G186"/>
      <c r="H186"/>
      <c r="I186"/>
      <c r="J186"/>
      <c r="K186"/>
      <c r="L186"/>
      <c r="M186"/>
      <c r="N186"/>
      <c r="O186"/>
      <c r="P186"/>
      <c r="Q186"/>
      <c r="R186"/>
      <c r="S186"/>
      <c r="T186"/>
    </row>
    <row r="187" spans="1:20">
      <c r="A187"/>
      <c r="B187"/>
      <c r="C187"/>
      <c r="D187" s="443"/>
      <c r="E187"/>
      <c r="F187"/>
      <c r="G187"/>
      <c r="H187"/>
      <c r="I187"/>
      <c r="J187"/>
      <c r="K187"/>
      <c r="L187"/>
      <c r="M187"/>
      <c r="N187"/>
      <c r="O187"/>
      <c r="P187"/>
      <c r="Q187"/>
      <c r="R187"/>
      <c r="S187"/>
      <c r="T187"/>
    </row>
    <row r="188" spans="1:20">
      <c r="A188"/>
      <c r="B188"/>
      <c r="C188"/>
      <c r="D188" s="443"/>
      <c r="E188"/>
      <c r="F188"/>
      <c r="G188"/>
      <c r="H188"/>
      <c r="I188"/>
      <c r="J188"/>
      <c r="K188"/>
      <c r="L188"/>
      <c r="M188"/>
      <c r="N188"/>
      <c r="O188"/>
      <c r="P188"/>
      <c r="Q188"/>
      <c r="R188"/>
      <c r="S188"/>
      <c r="T188"/>
    </row>
    <row r="189" spans="1:20">
      <c r="A189"/>
      <c r="B189"/>
      <c r="C189"/>
      <c r="D189" s="443"/>
      <c r="E189"/>
      <c r="F189"/>
      <c r="G189"/>
      <c r="H189"/>
      <c r="I189"/>
      <c r="J189"/>
      <c r="K189"/>
      <c r="L189"/>
      <c r="M189"/>
      <c r="N189"/>
      <c r="O189"/>
      <c r="P189"/>
      <c r="Q189"/>
      <c r="R189"/>
      <c r="S189"/>
      <c r="T189"/>
    </row>
    <row r="190" spans="1:20">
      <c r="A190"/>
      <c r="B190"/>
      <c r="C190"/>
      <c r="D190" s="443"/>
      <c r="E190"/>
      <c r="F190"/>
      <c r="G190"/>
      <c r="H190"/>
      <c r="I190"/>
      <c r="J190"/>
      <c r="K190"/>
      <c r="L190"/>
      <c r="M190"/>
      <c r="N190"/>
      <c r="O190"/>
      <c r="P190"/>
      <c r="Q190"/>
      <c r="R190"/>
      <c r="S190"/>
      <c r="T190"/>
    </row>
    <row r="191" spans="1:20">
      <c r="A191"/>
      <c r="B191"/>
      <c r="C191"/>
      <c r="D191" s="443"/>
      <c r="E191"/>
      <c r="F191"/>
      <c r="G191"/>
      <c r="H191"/>
      <c r="I191"/>
      <c r="J191"/>
      <c r="K191"/>
      <c r="L191"/>
      <c r="M191"/>
      <c r="N191"/>
      <c r="O191"/>
      <c r="P191"/>
      <c r="Q191"/>
      <c r="R191"/>
      <c r="S191"/>
      <c r="T191"/>
    </row>
    <row r="192" spans="1:20">
      <c r="A192"/>
      <c r="B192"/>
      <c r="C192"/>
      <c r="D192" s="443"/>
      <c r="E192"/>
      <c r="F192"/>
      <c r="G192"/>
      <c r="H192"/>
      <c r="I192"/>
      <c r="J192"/>
      <c r="K192"/>
      <c r="L192"/>
      <c r="M192"/>
      <c r="N192"/>
      <c r="O192"/>
      <c r="P192"/>
      <c r="Q192"/>
      <c r="R192"/>
      <c r="S192"/>
      <c r="T192"/>
    </row>
    <row r="193" spans="1:20">
      <c r="A193"/>
      <c r="B193"/>
      <c r="C193"/>
      <c r="D193" s="443"/>
      <c r="E193"/>
      <c r="F193"/>
      <c r="G193"/>
      <c r="H193"/>
      <c r="I193"/>
      <c r="J193"/>
      <c r="K193"/>
      <c r="L193"/>
      <c r="M193"/>
      <c r="N193"/>
      <c r="O193"/>
      <c r="P193"/>
      <c r="Q193"/>
      <c r="R193"/>
      <c r="S193"/>
      <c r="T193"/>
    </row>
    <row r="194" spans="1:20">
      <c r="A194"/>
      <c r="B194"/>
      <c r="C194"/>
      <c r="D194" s="443"/>
      <c r="E194"/>
      <c r="F194"/>
      <c r="G194"/>
      <c r="H194"/>
      <c r="I194"/>
      <c r="J194"/>
      <c r="K194"/>
      <c r="L194"/>
      <c r="M194"/>
      <c r="N194"/>
      <c r="O194"/>
      <c r="P194"/>
      <c r="Q194"/>
      <c r="R194"/>
      <c r="S194"/>
      <c r="T194"/>
    </row>
    <row r="195" spans="1:20">
      <c r="A195"/>
      <c r="B195"/>
      <c r="C195"/>
      <c r="D195" s="443"/>
      <c r="E195"/>
      <c r="F195"/>
      <c r="G195"/>
      <c r="H195"/>
      <c r="I195"/>
      <c r="J195"/>
      <c r="K195"/>
      <c r="L195"/>
      <c r="M195"/>
      <c r="N195"/>
      <c r="O195"/>
      <c r="P195"/>
      <c r="Q195"/>
      <c r="R195"/>
      <c r="S195"/>
      <c r="T195"/>
    </row>
    <row r="196" spans="1:20">
      <c r="A196"/>
      <c r="B196"/>
      <c r="C196"/>
      <c r="D196" s="443"/>
      <c r="E196"/>
      <c r="F196"/>
      <c r="G196"/>
      <c r="H196"/>
      <c r="I196"/>
      <c r="J196"/>
      <c r="K196"/>
      <c r="L196"/>
      <c r="M196"/>
      <c r="N196"/>
      <c r="O196"/>
      <c r="P196"/>
      <c r="Q196"/>
      <c r="R196"/>
      <c r="S196"/>
      <c r="T196"/>
    </row>
    <row r="197" spans="1:20">
      <c r="A197"/>
      <c r="B197"/>
      <c r="C197"/>
      <c r="D197" s="443"/>
      <c r="E197"/>
      <c r="F197"/>
      <c r="G197"/>
      <c r="H197"/>
      <c r="I197"/>
      <c r="J197"/>
      <c r="K197"/>
      <c r="L197"/>
      <c r="M197"/>
      <c r="N197"/>
      <c r="O197"/>
      <c r="P197"/>
      <c r="Q197"/>
      <c r="R197"/>
      <c r="S197"/>
      <c r="T197"/>
    </row>
    <row r="198" spans="1:20">
      <c r="A198"/>
      <c r="B198"/>
      <c r="C198"/>
      <c r="D198" s="443"/>
      <c r="E198"/>
      <c r="F198"/>
      <c r="G198"/>
      <c r="H198"/>
      <c r="I198"/>
      <c r="J198"/>
      <c r="K198"/>
      <c r="L198"/>
      <c r="M198"/>
      <c r="N198"/>
      <c r="O198"/>
      <c r="P198"/>
      <c r="Q198"/>
      <c r="R198"/>
      <c r="S198"/>
      <c r="T198"/>
    </row>
    <row r="199" spans="1:20">
      <c r="A199"/>
      <c r="B199"/>
      <c r="C199"/>
      <c r="D199" s="443"/>
      <c r="E199"/>
      <c r="F199"/>
      <c r="G199"/>
      <c r="H199"/>
      <c r="I199"/>
      <c r="J199"/>
      <c r="K199"/>
      <c r="L199"/>
      <c r="M199"/>
      <c r="N199"/>
      <c r="O199"/>
      <c r="P199"/>
      <c r="Q199"/>
      <c r="R199"/>
      <c r="S199"/>
      <c r="T199"/>
    </row>
    <row r="200" spans="1:20">
      <c r="A200"/>
      <c r="B200"/>
      <c r="C200"/>
      <c r="D200" s="443"/>
      <c r="E200"/>
      <c r="F200"/>
      <c r="G200"/>
      <c r="H200"/>
      <c r="I200"/>
      <c r="J200"/>
      <c r="K200"/>
      <c r="L200"/>
      <c r="M200"/>
      <c r="N200"/>
      <c r="O200"/>
      <c r="P200"/>
      <c r="Q200"/>
      <c r="R200"/>
      <c r="S200"/>
      <c r="T200"/>
    </row>
    <row r="201" spans="1:20">
      <c r="A201"/>
      <c r="B201"/>
      <c r="C201"/>
      <c r="D201" s="443"/>
      <c r="E201"/>
      <c r="F201"/>
      <c r="G201"/>
      <c r="H201"/>
      <c r="I201"/>
      <c r="J201"/>
      <c r="K201"/>
      <c r="L201"/>
      <c r="M201"/>
      <c r="N201"/>
      <c r="O201"/>
      <c r="P201"/>
      <c r="Q201"/>
      <c r="R201"/>
      <c r="S201"/>
      <c r="T201"/>
    </row>
    <row r="202" spans="1:20">
      <c r="A202"/>
      <c r="B202"/>
      <c r="C202"/>
      <c r="D202" s="443"/>
      <c r="E202"/>
      <c r="F202"/>
      <c r="G202"/>
      <c r="H202"/>
      <c r="I202"/>
      <c r="J202"/>
      <c r="K202"/>
      <c r="L202"/>
      <c r="M202"/>
      <c r="N202"/>
      <c r="O202"/>
      <c r="P202"/>
      <c r="Q202"/>
      <c r="R202"/>
      <c r="S202"/>
      <c r="T202"/>
    </row>
    <row r="203" spans="1:20">
      <c r="A203"/>
      <c r="B203"/>
      <c r="C203"/>
      <c r="D203" s="443"/>
      <c r="E203"/>
      <c r="F203"/>
      <c r="G203"/>
      <c r="H203"/>
      <c r="I203"/>
      <c r="J203"/>
      <c r="K203"/>
      <c r="L203"/>
      <c r="M203"/>
      <c r="N203"/>
      <c r="O203"/>
      <c r="P203"/>
      <c r="Q203"/>
      <c r="R203"/>
      <c r="S203"/>
      <c r="T203"/>
    </row>
    <row r="204" spans="1:20">
      <c r="A204"/>
      <c r="B204"/>
      <c r="C204"/>
      <c r="D204" s="443"/>
      <c r="E204"/>
      <c r="F204"/>
      <c r="G204"/>
      <c r="H204"/>
      <c r="I204"/>
      <c r="J204"/>
      <c r="K204"/>
      <c r="L204"/>
      <c r="M204"/>
      <c r="N204"/>
      <c r="O204"/>
      <c r="P204"/>
      <c r="Q204"/>
      <c r="R204"/>
      <c r="S204"/>
      <c r="T204"/>
    </row>
    <row r="205" spans="1:20">
      <c r="A205"/>
      <c r="B205"/>
      <c r="C205"/>
      <c r="D205" s="443"/>
      <c r="E205"/>
      <c r="F205"/>
      <c r="G205"/>
      <c r="H205"/>
      <c r="I205"/>
      <c r="J205"/>
      <c r="K205"/>
      <c r="L205"/>
      <c r="M205"/>
      <c r="N205"/>
      <c r="O205"/>
      <c r="P205"/>
      <c r="Q205"/>
      <c r="R205"/>
      <c r="S205"/>
      <c r="T205"/>
    </row>
    <row r="206" spans="1:20">
      <c r="A206"/>
      <c r="B206"/>
      <c r="C206"/>
      <c r="D206" s="443"/>
      <c r="E206"/>
      <c r="F206"/>
      <c r="G206"/>
      <c r="H206"/>
      <c r="I206"/>
      <c r="J206"/>
      <c r="K206"/>
      <c r="L206"/>
      <c r="M206"/>
      <c r="N206"/>
      <c r="O206"/>
      <c r="P206"/>
      <c r="Q206"/>
      <c r="R206"/>
      <c r="S206"/>
      <c r="T206"/>
    </row>
    <row r="207" spans="1:20">
      <c r="A207"/>
      <c r="B207"/>
      <c r="C207"/>
      <c r="D207" s="443"/>
      <c r="E207"/>
      <c r="F207"/>
      <c r="G207"/>
      <c r="H207"/>
      <c r="I207"/>
      <c r="J207"/>
      <c r="K207"/>
      <c r="L207"/>
      <c r="M207"/>
      <c r="N207"/>
      <c r="O207"/>
      <c r="P207"/>
      <c r="Q207"/>
      <c r="R207"/>
      <c r="S207"/>
      <c r="T207"/>
    </row>
    <row r="208" spans="1:20">
      <c r="A208"/>
      <c r="B208"/>
      <c r="C208"/>
      <c r="D208" s="443"/>
      <c r="E208"/>
      <c r="F208"/>
      <c r="G208"/>
      <c r="H208"/>
      <c r="I208"/>
      <c r="J208"/>
      <c r="K208"/>
      <c r="L208"/>
      <c r="M208"/>
      <c r="N208"/>
      <c r="O208"/>
      <c r="P208"/>
      <c r="Q208"/>
      <c r="R208"/>
      <c r="S208"/>
      <c r="T208"/>
    </row>
    <row r="209" spans="1:20">
      <c r="A209"/>
      <c r="B209"/>
      <c r="C209"/>
      <c r="D209" s="443"/>
      <c r="E209"/>
      <c r="F209"/>
      <c r="G209"/>
      <c r="H209"/>
      <c r="I209"/>
      <c r="J209"/>
      <c r="K209"/>
      <c r="L209"/>
      <c r="M209"/>
      <c r="N209"/>
      <c r="O209"/>
      <c r="P209"/>
      <c r="Q209"/>
      <c r="R209"/>
      <c r="S209"/>
      <c r="T209"/>
    </row>
    <row r="210" spans="1:20">
      <c r="A210"/>
      <c r="B210"/>
      <c r="C210"/>
      <c r="D210" s="443"/>
      <c r="E210"/>
      <c r="F210"/>
      <c r="G210"/>
      <c r="H210"/>
      <c r="I210"/>
      <c r="J210"/>
      <c r="K210"/>
      <c r="L210"/>
      <c r="M210"/>
      <c r="N210"/>
      <c r="O210"/>
      <c r="P210"/>
      <c r="Q210"/>
      <c r="R210"/>
      <c r="S210"/>
      <c r="T210"/>
    </row>
    <row r="211" spans="1:20">
      <c r="A211"/>
      <c r="B211"/>
      <c r="C211"/>
      <c r="D211" s="443"/>
      <c r="E211"/>
      <c r="F211"/>
      <c r="G211"/>
      <c r="H211"/>
      <c r="I211"/>
      <c r="J211"/>
      <c r="K211"/>
      <c r="L211"/>
      <c r="M211"/>
      <c r="N211"/>
      <c r="O211"/>
      <c r="P211"/>
      <c r="Q211"/>
      <c r="R211"/>
      <c r="S211"/>
      <c r="T211"/>
    </row>
    <row r="212" spans="1:20">
      <c r="A212"/>
      <c r="B212"/>
      <c r="C212"/>
      <c r="D212" s="443"/>
      <c r="E212"/>
      <c r="F212"/>
      <c r="G212"/>
      <c r="H212"/>
      <c r="I212"/>
      <c r="J212"/>
      <c r="K212"/>
      <c r="L212"/>
      <c r="M212"/>
      <c r="N212"/>
      <c r="O212"/>
      <c r="P212"/>
      <c r="Q212"/>
      <c r="R212"/>
      <c r="S212"/>
      <c r="T212"/>
    </row>
    <row r="213" spans="1:20">
      <c r="A213"/>
      <c r="B213"/>
      <c r="C213"/>
      <c r="D213" s="443"/>
      <c r="E213"/>
      <c r="F213"/>
      <c r="G213"/>
      <c r="H213"/>
      <c r="I213"/>
      <c r="J213"/>
      <c r="K213"/>
      <c r="L213"/>
      <c r="M213"/>
      <c r="N213"/>
      <c r="O213"/>
      <c r="P213"/>
      <c r="Q213"/>
      <c r="R213"/>
      <c r="S213"/>
      <c r="T213"/>
    </row>
    <row r="214" spans="1:20">
      <c r="A214"/>
      <c r="B214"/>
      <c r="C214"/>
      <c r="D214" s="443"/>
      <c r="E214"/>
      <c r="F214"/>
      <c r="G214"/>
      <c r="H214"/>
      <c r="I214"/>
      <c r="J214"/>
      <c r="K214"/>
      <c r="L214"/>
      <c r="M214"/>
      <c r="N214"/>
      <c r="O214"/>
      <c r="P214"/>
      <c r="Q214"/>
      <c r="R214"/>
      <c r="S214"/>
      <c r="T214"/>
    </row>
    <row r="215" spans="1:20">
      <c r="A215"/>
      <c r="B215"/>
      <c r="C215"/>
      <c r="D215" s="443"/>
      <c r="E215"/>
      <c r="F215"/>
      <c r="G215"/>
      <c r="H215"/>
      <c r="I215"/>
      <c r="J215"/>
      <c r="K215"/>
      <c r="L215"/>
      <c r="M215"/>
      <c r="N215"/>
      <c r="O215"/>
      <c r="P215"/>
      <c r="Q215"/>
      <c r="R215"/>
      <c r="S215"/>
      <c r="T215"/>
    </row>
    <row r="216" spans="1:20">
      <c r="A216"/>
      <c r="B216"/>
      <c r="C216"/>
      <c r="D216" s="443"/>
      <c r="E216"/>
      <c r="F216"/>
      <c r="G216"/>
      <c r="H216"/>
      <c r="I216"/>
      <c r="J216"/>
      <c r="K216"/>
      <c r="L216"/>
      <c r="M216"/>
      <c r="N216"/>
      <c r="O216"/>
      <c r="P216"/>
      <c r="Q216"/>
      <c r="R216"/>
      <c r="S216"/>
      <c r="T216"/>
    </row>
    <row r="217" spans="1:20">
      <c r="A217"/>
      <c r="B217"/>
      <c r="C217"/>
      <c r="D217" s="443"/>
      <c r="E217"/>
      <c r="F217"/>
      <c r="G217"/>
      <c r="H217"/>
      <c r="I217"/>
      <c r="J217"/>
      <c r="K217"/>
      <c r="L217"/>
      <c r="M217"/>
      <c r="N217"/>
      <c r="O217"/>
      <c r="P217"/>
      <c r="Q217"/>
      <c r="R217"/>
      <c r="S217"/>
      <c r="T217"/>
    </row>
    <row r="218" spans="1:20">
      <c r="A218"/>
      <c r="B218"/>
      <c r="C218"/>
      <c r="D218" s="443"/>
      <c r="E218"/>
      <c r="F218"/>
      <c r="G218"/>
      <c r="H218"/>
      <c r="I218"/>
      <c r="J218"/>
      <c r="K218"/>
      <c r="L218"/>
      <c r="M218"/>
      <c r="N218"/>
      <c r="O218"/>
      <c r="P218"/>
      <c r="Q218"/>
      <c r="R218"/>
      <c r="S218"/>
      <c r="T218"/>
    </row>
    <row r="219" spans="1:20">
      <c r="A219"/>
      <c r="B219"/>
      <c r="C219"/>
      <c r="D219" s="443"/>
      <c r="E219"/>
      <c r="F219"/>
      <c r="G219"/>
      <c r="H219"/>
      <c r="I219"/>
      <c r="J219"/>
      <c r="K219"/>
      <c r="L219"/>
      <c r="M219"/>
      <c r="N219"/>
      <c r="O219"/>
      <c r="P219"/>
      <c r="Q219"/>
      <c r="R219"/>
      <c r="S219"/>
      <c r="T219"/>
    </row>
    <row r="220" spans="1:20">
      <c r="A220"/>
      <c r="B220"/>
      <c r="C220"/>
      <c r="D220" s="443"/>
      <c r="E220"/>
      <c r="F220"/>
      <c r="G220"/>
      <c r="H220"/>
      <c r="I220"/>
      <c r="J220"/>
      <c r="K220"/>
      <c r="L220"/>
      <c r="M220"/>
      <c r="N220"/>
      <c r="O220"/>
      <c r="P220"/>
      <c r="Q220"/>
      <c r="R220"/>
      <c r="S220"/>
      <c r="T220"/>
    </row>
    <row r="221" spans="1:20">
      <c r="A221"/>
      <c r="B221"/>
      <c r="C221"/>
      <c r="D221" s="443"/>
      <c r="E221"/>
      <c r="F221"/>
      <c r="G221"/>
      <c r="H221"/>
      <c r="I221"/>
      <c r="J221"/>
      <c r="K221"/>
      <c r="L221"/>
      <c r="M221"/>
      <c r="N221"/>
      <c r="O221"/>
      <c r="P221"/>
      <c r="Q221"/>
      <c r="R221"/>
      <c r="S221"/>
      <c r="T221"/>
    </row>
    <row r="222" spans="1:20">
      <c r="A222"/>
      <c r="B222"/>
      <c r="C222"/>
      <c r="D222" s="443"/>
      <c r="E222"/>
      <c r="F222"/>
      <c r="G222"/>
      <c r="H222"/>
      <c r="I222"/>
      <c r="J222"/>
      <c r="K222"/>
      <c r="L222"/>
      <c r="M222"/>
      <c r="N222"/>
      <c r="O222"/>
      <c r="P222"/>
      <c r="Q222"/>
      <c r="R222"/>
      <c r="S222"/>
      <c r="T222"/>
    </row>
    <row r="223" spans="1:20">
      <c r="A223"/>
      <c r="B223"/>
      <c r="C223"/>
      <c r="D223" s="443"/>
      <c r="E223"/>
      <c r="F223"/>
      <c r="G223"/>
      <c r="H223"/>
      <c r="I223"/>
      <c r="J223"/>
      <c r="K223"/>
      <c r="L223"/>
      <c r="M223"/>
      <c r="N223"/>
      <c r="O223"/>
      <c r="P223"/>
      <c r="Q223"/>
      <c r="R223"/>
      <c r="S223"/>
      <c r="T223"/>
    </row>
    <row r="224" spans="1:20">
      <c r="A224"/>
      <c r="B224"/>
      <c r="C224"/>
      <c r="D224" s="443"/>
      <c r="E224"/>
      <c r="F224"/>
      <c r="G224"/>
      <c r="H224"/>
      <c r="I224"/>
      <c r="J224"/>
      <c r="K224"/>
      <c r="L224"/>
      <c r="M224"/>
      <c r="N224"/>
      <c r="O224"/>
      <c r="P224"/>
      <c r="Q224"/>
      <c r="R224"/>
      <c r="S224"/>
      <c r="T224"/>
    </row>
    <row r="225" spans="1:20">
      <c r="A225"/>
      <c r="B225"/>
      <c r="C225"/>
      <c r="D225" s="443"/>
      <c r="E225"/>
      <c r="F225"/>
      <c r="G225"/>
      <c r="H225"/>
      <c r="I225"/>
      <c r="J225"/>
      <c r="K225"/>
      <c r="L225"/>
      <c r="M225"/>
      <c r="N225"/>
      <c r="O225"/>
      <c r="P225"/>
      <c r="Q225"/>
      <c r="R225"/>
      <c r="S225"/>
      <c r="T225"/>
    </row>
    <row r="226" spans="1:20">
      <c r="A226"/>
      <c r="B226"/>
      <c r="C226"/>
      <c r="D226" s="443"/>
      <c r="E226"/>
      <c r="F226"/>
      <c r="G226"/>
      <c r="H226"/>
      <c r="I226"/>
      <c r="J226"/>
      <c r="K226"/>
      <c r="L226"/>
      <c r="M226"/>
      <c r="N226"/>
      <c r="O226"/>
      <c r="P226"/>
      <c r="Q226"/>
      <c r="R226"/>
      <c r="S226"/>
      <c r="T226"/>
    </row>
    <row r="227" spans="1:20">
      <c r="A227"/>
      <c r="B227"/>
      <c r="C227"/>
      <c r="D227" s="443"/>
      <c r="E227"/>
      <c r="F227"/>
      <c r="G227"/>
      <c r="H227"/>
      <c r="I227"/>
      <c r="J227"/>
      <c r="K227"/>
      <c r="L227"/>
      <c r="M227"/>
      <c r="N227"/>
      <c r="O227"/>
      <c r="P227"/>
      <c r="Q227"/>
      <c r="R227"/>
      <c r="S227"/>
      <c r="T227"/>
    </row>
    <row r="228" spans="1:20">
      <c r="A228"/>
      <c r="B228"/>
      <c r="C228"/>
      <c r="D228" s="443"/>
      <c r="E228"/>
      <c r="F228"/>
      <c r="G228"/>
      <c r="H228"/>
      <c r="I228"/>
      <c r="J228"/>
      <c r="K228"/>
      <c r="L228"/>
      <c r="M228"/>
      <c r="N228"/>
      <c r="O228"/>
      <c r="P228"/>
      <c r="Q228"/>
      <c r="R228"/>
      <c r="S228"/>
      <c r="T228"/>
    </row>
    <row r="229" spans="1:20">
      <c r="A229"/>
      <c r="B229"/>
      <c r="C229"/>
      <c r="D229" s="443"/>
      <c r="E229"/>
      <c r="F229"/>
      <c r="G229"/>
      <c r="H229"/>
      <c r="I229"/>
      <c r="J229"/>
      <c r="K229"/>
      <c r="L229"/>
      <c r="M229"/>
      <c r="N229"/>
      <c r="O229"/>
      <c r="P229"/>
      <c r="Q229"/>
      <c r="R229"/>
      <c r="S229"/>
      <c r="T229"/>
    </row>
    <row r="230" spans="1:20">
      <c r="A230"/>
      <c r="B230"/>
      <c r="C230"/>
      <c r="D230" s="443"/>
      <c r="E230"/>
      <c r="F230"/>
      <c r="G230"/>
      <c r="H230"/>
      <c r="I230"/>
      <c r="J230"/>
      <c r="K230"/>
      <c r="L230"/>
      <c r="M230"/>
      <c r="N230"/>
      <c r="O230"/>
      <c r="P230"/>
      <c r="Q230"/>
      <c r="R230"/>
      <c r="S230"/>
      <c r="T230"/>
    </row>
    <row r="231" spans="1:20">
      <c r="A231"/>
      <c r="B231"/>
      <c r="C231"/>
      <c r="D231" s="443"/>
      <c r="E231"/>
      <c r="F231"/>
      <c r="G231"/>
      <c r="H231"/>
      <c r="I231"/>
      <c r="J231"/>
      <c r="K231"/>
      <c r="L231"/>
      <c r="M231"/>
      <c r="N231"/>
      <c r="O231"/>
      <c r="P231"/>
      <c r="Q231"/>
      <c r="R231"/>
      <c r="S231"/>
      <c r="T231"/>
    </row>
    <row r="232" spans="1:20">
      <c r="A232"/>
      <c r="B232"/>
      <c r="C232"/>
      <c r="D232" s="443"/>
      <c r="E232"/>
      <c r="F232"/>
      <c r="G232"/>
      <c r="H232"/>
      <c r="I232"/>
      <c r="J232"/>
      <c r="K232"/>
      <c r="L232"/>
      <c r="M232"/>
      <c r="N232"/>
      <c r="O232"/>
      <c r="P232"/>
      <c r="Q232"/>
      <c r="R232"/>
      <c r="S232"/>
      <c r="T232"/>
    </row>
    <row r="233" spans="1:20">
      <c r="A233"/>
      <c r="B233"/>
      <c r="C233"/>
      <c r="D233" s="443"/>
      <c r="E233"/>
      <c r="F233"/>
      <c r="G233"/>
      <c r="H233"/>
      <c r="I233"/>
      <c r="J233"/>
      <c r="K233"/>
      <c r="L233"/>
      <c r="M233"/>
      <c r="N233"/>
      <c r="O233"/>
      <c r="P233"/>
      <c r="Q233"/>
      <c r="R233"/>
      <c r="S233"/>
      <c r="T233"/>
    </row>
    <row r="234" spans="1:20">
      <c r="A234"/>
      <c r="B234"/>
      <c r="C234"/>
      <c r="D234" s="443"/>
      <c r="E234"/>
      <c r="F234"/>
      <c r="G234"/>
      <c r="H234"/>
      <c r="I234"/>
      <c r="J234"/>
      <c r="K234"/>
      <c r="L234"/>
      <c r="M234"/>
      <c r="N234"/>
      <c r="O234"/>
      <c r="P234"/>
      <c r="Q234"/>
      <c r="R234"/>
      <c r="S234"/>
      <c r="T234"/>
    </row>
    <row r="235" spans="1:20">
      <c r="A235"/>
      <c r="B235"/>
      <c r="C235"/>
      <c r="D235" s="443"/>
      <c r="E235"/>
      <c r="F235"/>
      <c r="G235"/>
      <c r="H235"/>
      <c r="I235"/>
      <c r="J235"/>
      <c r="K235"/>
      <c r="L235"/>
      <c r="M235"/>
      <c r="N235"/>
      <c r="O235"/>
      <c r="P235"/>
      <c r="Q235"/>
      <c r="R235"/>
      <c r="S235"/>
      <c r="T235"/>
    </row>
    <row r="236" spans="1:20">
      <c r="A236"/>
      <c r="B236"/>
      <c r="C236"/>
      <c r="D236" s="443"/>
      <c r="E236"/>
      <c r="F236"/>
      <c r="G236"/>
      <c r="H236"/>
      <c r="I236"/>
      <c r="J236"/>
      <c r="K236"/>
      <c r="L236"/>
      <c r="M236"/>
      <c r="N236"/>
      <c r="O236"/>
      <c r="P236"/>
      <c r="Q236"/>
      <c r="R236"/>
      <c r="S236"/>
      <c r="T236"/>
    </row>
    <row r="237" spans="1:20">
      <c r="A237"/>
      <c r="B237"/>
      <c r="C237"/>
      <c r="D237" s="443"/>
      <c r="E237"/>
      <c r="F237"/>
      <c r="G237"/>
      <c r="H237"/>
      <c r="I237"/>
      <c r="J237"/>
      <c r="K237"/>
      <c r="L237"/>
      <c r="M237"/>
      <c r="N237"/>
      <c r="O237"/>
      <c r="P237"/>
      <c r="Q237"/>
      <c r="R237"/>
      <c r="S237"/>
      <c r="T237"/>
    </row>
    <row r="238" spans="1:20">
      <c r="A238"/>
      <c r="B238"/>
      <c r="C238"/>
      <c r="D238" s="443"/>
      <c r="E238"/>
      <c r="F238"/>
      <c r="G238"/>
      <c r="H238"/>
      <c r="I238"/>
      <c r="J238"/>
      <c r="K238"/>
      <c r="L238"/>
      <c r="M238"/>
      <c r="N238"/>
      <c r="O238"/>
      <c r="P238"/>
      <c r="Q238"/>
      <c r="R238"/>
      <c r="S238"/>
      <c r="T238"/>
    </row>
    <row r="239" spans="1:20">
      <c r="A239"/>
      <c r="B239"/>
      <c r="C239"/>
      <c r="D239" s="443"/>
      <c r="E239"/>
      <c r="F239"/>
      <c r="G239"/>
      <c r="H239"/>
      <c r="I239"/>
      <c r="J239"/>
      <c r="K239"/>
      <c r="L239"/>
      <c r="M239"/>
      <c r="N239"/>
      <c r="O239"/>
      <c r="P239"/>
      <c r="Q239"/>
      <c r="R239"/>
      <c r="S239"/>
      <c r="T239"/>
    </row>
    <row r="240" spans="1:20">
      <c r="A240"/>
      <c r="B240"/>
      <c r="C240"/>
      <c r="D240" s="443"/>
      <c r="E240"/>
      <c r="F240"/>
      <c r="G240"/>
      <c r="H240"/>
      <c r="I240"/>
      <c r="J240"/>
      <c r="K240"/>
      <c r="L240"/>
      <c r="M240"/>
      <c r="N240"/>
      <c r="O240"/>
      <c r="P240"/>
      <c r="Q240"/>
      <c r="R240"/>
      <c r="S240"/>
      <c r="T240"/>
    </row>
    <row r="241" spans="1:20">
      <c r="A241"/>
      <c r="B241"/>
      <c r="C241"/>
      <c r="D241" s="443"/>
      <c r="E241"/>
      <c r="F241"/>
      <c r="G241"/>
      <c r="H241"/>
      <c r="I241"/>
      <c r="J241"/>
      <c r="K241"/>
      <c r="L241"/>
      <c r="M241"/>
      <c r="N241"/>
      <c r="O241"/>
      <c r="P241"/>
      <c r="Q241"/>
      <c r="R241"/>
      <c r="S241"/>
      <c r="T241"/>
    </row>
    <row r="242" spans="1:20">
      <c r="A242"/>
      <c r="B242"/>
      <c r="C242"/>
      <c r="D242" s="443"/>
      <c r="E242"/>
      <c r="F242"/>
      <c r="G242"/>
      <c r="H242"/>
      <c r="I242"/>
      <c r="J242"/>
      <c r="K242"/>
      <c r="L242"/>
      <c r="M242"/>
      <c r="N242"/>
      <c r="O242"/>
      <c r="P242"/>
      <c r="Q242"/>
      <c r="R242"/>
      <c r="S242"/>
      <c r="T242"/>
    </row>
    <row r="243" spans="1:20">
      <c r="A243"/>
      <c r="B243"/>
      <c r="C243"/>
      <c r="D243" s="443"/>
      <c r="E243"/>
      <c r="F243"/>
      <c r="G243"/>
      <c r="H243"/>
      <c r="I243"/>
      <c r="J243"/>
      <c r="K243"/>
      <c r="L243"/>
      <c r="M243"/>
      <c r="N243"/>
      <c r="O243"/>
      <c r="P243"/>
      <c r="Q243"/>
      <c r="R243"/>
      <c r="S243"/>
      <c r="T243"/>
    </row>
    <row r="244" spans="1:20">
      <c r="A244"/>
      <c r="B244"/>
      <c r="C244"/>
      <c r="D244" s="443"/>
      <c r="E244"/>
      <c r="F244"/>
      <c r="G244"/>
      <c r="H244"/>
      <c r="I244"/>
      <c r="J244"/>
      <c r="K244"/>
      <c r="L244"/>
      <c r="M244"/>
      <c r="N244"/>
      <c r="O244"/>
      <c r="P244"/>
      <c r="Q244"/>
      <c r="R244"/>
      <c r="S244"/>
      <c r="T244"/>
    </row>
    <row r="245" spans="1:20">
      <c r="A245"/>
      <c r="B245"/>
      <c r="C245"/>
      <c r="D245" s="443"/>
      <c r="E245"/>
      <c r="F245"/>
      <c r="G245"/>
      <c r="H245"/>
      <c r="I245"/>
      <c r="J245"/>
      <c r="K245"/>
      <c r="L245"/>
      <c r="M245"/>
      <c r="N245"/>
      <c r="O245"/>
      <c r="P245"/>
      <c r="Q245"/>
      <c r="R245"/>
      <c r="S245"/>
      <c r="T245"/>
    </row>
    <row r="246" spans="1:20">
      <c r="A246"/>
      <c r="B246"/>
      <c r="C246"/>
      <c r="D246" s="443"/>
      <c r="E246"/>
      <c r="F246"/>
      <c r="G246"/>
      <c r="H246"/>
      <c r="I246"/>
      <c r="J246"/>
      <c r="K246"/>
      <c r="L246"/>
      <c r="M246"/>
      <c r="N246"/>
      <c r="O246"/>
      <c r="P246"/>
      <c r="Q246"/>
      <c r="R246"/>
      <c r="S246"/>
      <c r="T246"/>
    </row>
    <row r="247" spans="1:20">
      <c r="A247"/>
      <c r="B247"/>
      <c r="C247"/>
      <c r="D247" s="443"/>
      <c r="E247"/>
      <c r="F247"/>
      <c r="G247"/>
      <c r="H247"/>
      <c r="I247"/>
      <c r="J247"/>
      <c r="K247"/>
      <c r="L247"/>
      <c r="M247"/>
      <c r="N247"/>
      <c r="O247"/>
      <c r="P247"/>
      <c r="Q247"/>
      <c r="R247"/>
      <c r="S247"/>
      <c r="T247"/>
    </row>
    <row r="248" spans="1:20">
      <c r="A248"/>
      <c r="B248"/>
      <c r="C248"/>
      <c r="D248" s="443"/>
      <c r="E248"/>
      <c r="F248"/>
      <c r="G248"/>
      <c r="H248"/>
      <c r="I248"/>
      <c r="J248"/>
      <c r="K248"/>
      <c r="L248"/>
      <c r="M248"/>
      <c r="N248"/>
      <c r="O248"/>
      <c r="P248"/>
      <c r="Q248"/>
      <c r="R248"/>
      <c r="S248"/>
      <c r="T248"/>
    </row>
    <row r="249" spans="1:20">
      <c r="A249"/>
      <c r="B249"/>
      <c r="C249"/>
      <c r="D249" s="443"/>
      <c r="E249"/>
      <c r="F249"/>
      <c r="G249"/>
      <c r="H249"/>
      <c r="I249"/>
      <c r="J249"/>
      <c r="K249"/>
      <c r="L249"/>
      <c r="M249"/>
      <c r="N249"/>
      <c r="O249"/>
      <c r="P249"/>
      <c r="Q249"/>
      <c r="R249"/>
      <c r="S249"/>
      <c r="T249"/>
    </row>
    <row r="250" spans="1:20">
      <c r="A250"/>
      <c r="B250"/>
      <c r="C250"/>
      <c r="D250" s="443"/>
      <c r="E250"/>
      <c r="F250"/>
      <c r="G250"/>
      <c r="H250"/>
      <c r="I250"/>
      <c r="J250"/>
      <c r="K250"/>
      <c r="L250"/>
      <c r="M250"/>
      <c r="N250"/>
      <c r="O250"/>
      <c r="P250"/>
      <c r="Q250"/>
      <c r="R250"/>
      <c r="S250"/>
      <c r="T250"/>
    </row>
    <row r="251" spans="1:20">
      <c r="A251"/>
      <c r="B251"/>
      <c r="C251"/>
      <c r="D251" s="443"/>
      <c r="E251"/>
      <c r="F251"/>
      <c r="G251"/>
      <c r="H251"/>
      <c r="I251"/>
      <c r="J251"/>
      <c r="K251"/>
      <c r="L251"/>
      <c r="M251"/>
      <c r="N251"/>
      <c r="O251"/>
      <c r="P251"/>
      <c r="Q251"/>
      <c r="R251"/>
      <c r="S251"/>
      <c r="T251"/>
    </row>
    <row r="252" spans="1:20">
      <c r="A252"/>
      <c r="B252"/>
      <c r="C252"/>
      <c r="D252" s="443"/>
      <c r="E252"/>
      <c r="F252"/>
      <c r="G252"/>
      <c r="H252"/>
      <c r="I252"/>
      <c r="J252"/>
      <c r="K252"/>
      <c r="L252"/>
      <c r="M252"/>
      <c r="N252"/>
      <c r="O252"/>
      <c r="P252"/>
      <c r="Q252"/>
      <c r="R252"/>
      <c r="S252"/>
      <c r="T252"/>
    </row>
    <row r="253" spans="1:20">
      <c r="A253"/>
      <c r="B253"/>
      <c r="C253"/>
      <c r="D253" s="443"/>
      <c r="E253"/>
      <c r="F253"/>
      <c r="G253"/>
      <c r="H253"/>
      <c r="I253"/>
      <c r="J253"/>
      <c r="K253"/>
      <c r="L253"/>
      <c r="M253"/>
      <c r="N253"/>
      <c r="O253"/>
      <c r="P253"/>
      <c r="Q253"/>
      <c r="R253"/>
      <c r="S253"/>
      <c r="T253"/>
    </row>
    <row r="254" spans="1:20">
      <c r="A254"/>
      <c r="B254"/>
      <c r="C254"/>
      <c r="D254" s="443"/>
      <c r="E254"/>
      <c r="F254"/>
      <c r="G254"/>
      <c r="H254"/>
      <c r="I254"/>
      <c r="J254"/>
      <c r="K254"/>
      <c r="L254"/>
      <c r="M254"/>
      <c r="N254"/>
      <c r="O254"/>
      <c r="P254"/>
      <c r="Q254"/>
      <c r="R254"/>
      <c r="S254"/>
      <c r="T254"/>
    </row>
    <row r="255" spans="1:20">
      <c r="A255"/>
      <c r="B255"/>
      <c r="C255"/>
      <c r="D255" s="443"/>
      <c r="E255"/>
      <c r="F255"/>
      <c r="G255"/>
      <c r="H255"/>
      <c r="I255"/>
      <c r="J255"/>
      <c r="K255"/>
      <c r="L255"/>
      <c r="M255"/>
      <c r="N255"/>
      <c r="O255"/>
      <c r="P255"/>
      <c r="Q255"/>
      <c r="R255"/>
      <c r="S255"/>
      <c r="T255"/>
    </row>
    <row r="256" spans="1:20">
      <c r="A256"/>
      <c r="B256"/>
      <c r="C256"/>
      <c r="D256" s="443"/>
      <c r="E256"/>
      <c r="F256"/>
      <c r="G256"/>
      <c r="H256"/>
      <c r="I256"/>
      <c r="J256"/>
      <c r="K256"/>
      <c r="L256"/>
      <c r="M256"/>
      <c r="N256"/>
      <c r="O256"/>
      <c r="P256"/>
      <c r="Q256"/>
      <c r="R256"/>
      <c r="S256"/>
      <c r="T256"/>
    </row>
    <row r="257" spans="1:20">
      <c r="A257"/>
      <c r="B257"/>
      <c r="C257"/>
      <c r="D257" s="443"/>
      <c r="E257"/>
      <c r="F257"/>
      <c r="G257"/>
      <c r="H257"/>
      <c r="I257"/>
      <c r="J257"/>
      <c r="K257"/>
      <c r="L257"/>
      <c r="M257"/>
      <c r="N257"/>
      <c r="O257"/>
      <c r="P257"/>
      <c r="Q257"/>
      <c r="R257"/>
      <c r="S257"/>
      <c r="T257"/>
    </row>
    <row r="258" spans="1:20">
      <c r="A258"/>
      <c r="B258"/>
      <c r="C258"/>
      <c r="D258" s="443"/>
      <c r="E258"/>
      <c r="F258"/>
      <c r="G258"/>
      <c r="H258"/>
      <c r="I258"/>
      <c r="J258"/>
      <c r="K258"/>
      <c r="L258"/>
      <c r="M258"/>
      <c r="N258"/>
      <c r="O258"/>
      <c r="P258"/>
      <c r="Q258"/>
      <c r="R258"/>
      <c r="S258"/>
      <c r="T258"/>
    </row>
    <row r="259" spans="1:20">
      <c r="A259"/>
      <c r="B259"/>
      <c r="C259"/>
      <c r="D259" s="443"/>
      <c r="E259"/>
      <c r="F259"/>
      <c r="G259"/>
      <c r="H259"/>
      <c r="I259"/>
      <c r="J259"/>
      <c r="K259"/>
      <c r="L259"/>
      <c r="M259"/>
      <c r="N259"/>
      <c r="O259"/>
      <c r="P259"/>
      <c r="Q259"/>
      <c r="R259"/>
      <c r="S259"/>
      <c r="T259"/>
    </row>
    <row r="260" spans="1:20">
      <c r="A260"/>
      <c r="B260"/>
      <c r="C260"/>
      <c r="D260" s="443"/>
      <c r="E260"/>
      <c r="F260"/>
      <c r="G260"/>
      <c r="H260"/>
      <c r="I260"/>
      <c r="J260"/>
      <c r="K260"/>
      <c r="L260"/>
      <c r="M260"/>
      <c r="N260"/>
      <c r="O260"/>
      <c r="P260"/>
      <c r="Q260"/>
      <c r="R260"/>
      <c r="S260"/>
      <c r="T260"/>
    </row>
    <row r="261" spans="1:20">
      <c r="A261"/>
      <c r="B261"/>
      <c r="C261"/>
      <c r="D261" s="443"/>
      <c r="E261"/>
      <c r="F261"/>
      <c r="G261"/>
      <c r="H261"/>
      <c r="I261"/>
      <c r="J261"/>
      <c r="K261"/>
      <c r="L261"/>
      <c r="M261"/>
      <c r="N261"/>
      <c r="O261"/>
      <c r="P261"/>
      <c r="Q261"/>
      <c r="R261"/>
      <c r="S261"/>
      <c r="T261"/>
    </row>
    <row r="262" spans="1:20">
      <c r="A262"/>
      <c r="B262"/>
      <c r="C262"/>
      <c r="D262" s="443"/>
      <c r="E262"/>
      <c r="F262"/>
      <c r="G262"/>
      <c r="H262"/>
      <c r="I262"/>
      <c r="J262"/>
      <c r="K262"/>
      <c r="L262"/>
      <c r="M262"/>
      <c r="N262"/>
      <c r="O262"/>
      <c r="P262"/>
      <c r="Q262"/>
      <c r="R262"/>
      <c r="S262"/>
      <c r="T262"/>
    </row>
    <row r="263" spans="1:20">
      <c r="A263"/>
      <c r="B263"/>
      <c r="C263"/>
      <c r="D263" s="443"/>
      <c r="E263"/>
      <c r="F263"/>
      <c r="G263"/>
      <c r="H263"/>
      <c r="I263"/>
      <c r="J263"/>
      <c r="K263"/>
      <c r="L263"/>
      <c r="M263"/>
      <c r="N263"/>
      <c r="O263"/>
      <c r="P263"/>
      <c r="Q263"/>
      <c r="R263"/>
      <c r="S263"/>
      <c r="T263"/>
    </row>
    <row r="264" spans="1:20">
      <c r="A264"/>
      <c r="B264"/>
      <c r="C264"/>
      <c r="D264" s="443"/>
      <c r="E264"/>
      <c r="F264"/>
      <c r="G264"/>
      <c r="H264"/>
      <c r="I264"/>
      <c r="J264"/>
      <c r="K264"/>
      <c r="L264"/>
      <c r="M264"/>
      <c r="N264"/>
      <c r="O264"/>
      <c r="P264"/>
      <c r="Q264"/>
      <c r="R264"/>
      <c r="S264"/>
      <c r="T264"/>
    </row>
    <row r="265" spans="1:20">
      <c r="A265"/>
      <c r="B265"/>
      <c r="C265"/>
      <c r="D265" s="443"/>
      <c r="E265"/>
      <c r="F265"/>
      <c r="G265"/>
      <c r="H265"/>
      <c r="I265"/>
      <c r="J265"/>
      <c r="K265"/>
      <c r="L265"/>
      <c r="M265"/>
      <c r="N265"/>
      <c r="O265"/>
      <c r="P265"/>
      <c r="Q265"/>
      <c r="R265"/>
      <c r="S265"/>
      <c r="T265"/>
    </row>
    <row r="266" spans="1:20">
      <c r="A266"/>
      <c r="B266"/>
      <c r="C266"/>
      <c r="D266" s="443"/>
      <c r="E266"/>
      <c r="F266"/>
      <c r="G266"/>
      <c r="H266"/>
      <c r="I266"/>
      <c r="J266"/>
      <c r="K266"/>
      <c r="L266"/>
      <c r="M266"/>
      <c r="N266"/>
      <c r="O266"/>
      <c r="P266"/>
      <c r="Q266"/>
      <c r="R266"/>
      <c r="S266"/>
      <c r="T266"/>
    </row>
    <row r="267" spans="1:20">
      <c r="A267"/>
      <c r="B267"/>
      <c r="C267"/>
      <c r="D267" s="443"/>
      <c r="E267"/>
      <c r="F267"/>
      <c r="G267"/>
      <c r="H267"/>
      <c r="I267"/>
      <c r="J267"/>
      <c r="K267"/>
      <c r="L267"/>
      <c r="M267"/>
      <c r="N267"/>
      <c r="O267"/>
      <c r="P267"/>
      <c r="Q267"/>
      <c r="R267"/>
      <c r="S267"/>
      <c r="T267"/>
    </row>
    <row r="268" spans="1:20">
      <c r="A268"/>
      <c r="B268"/>
      <c r="C268"/>
      <c r="D268" s="443"/>
      <c r="E268"/>
      <c r="F268"/>
      <c r="G268"/>
      <c r="H268"/>
      <c r="I268"/>
      <c r="J268"/>
      <c r="K268"/>
      <c r="L268"/>
      <c r="M268"/>
      <c r="N268"/>
      <c r="O268"/>
      <c r="P268"/>
      <c r="Q268"/>
      <c r="R268"/>
      <c r="S268"/>
      <c r="T268"/>
    </row>
    <row r="269" spans="1:20">
      <c r="A269"/>
      <c r="B269"/>
      <c r="C269"/>
      <c r="D269" s="443"/>
      <c r="E269"/>
      <c r="F269"/>
      <c r="G269"/>
      <c r="H269"/>
      <c r="I269"/>
      <c r="J269"/>
      <c r="K269"/>
      <c r="L269"/>
      <c r="M269"/>
      <c r="N269"/>
      <c r="O269"/>
      <c r="P269"/>
      <c r="Q269"/>
      <c r="R269"/>
      <c r="S269"/>
      <c r="T269"/>
    </row>
    <row r="270" spans="1:20">
      <c r="A270"/>
      <c r="B270"/>
      <c r="C270"/>
      <c r="D270" s="443"/>
      <c r="E270"/>
      <c r="F270"/>
      <c r="G270"/>
      <c r="H270"/>
      <c r="I270"/>
      <c r="J270"/>
      <c r="K270"/>
      <c r="L270"/>
      <c r="M270"/>
      <c r="N270"/>
      <c r="O270"/>
      <c r="P270"/>
      <c r="Q270"/>
      <c r="R270"/>
      <c r="S270"/>
      <c r="T270"/>
    </row>
    <row r="271" spans="1:20">
      <c r="A271"/>
      <c r="B271"/>
      <c r="C271"/>
      <c r="D271" s="443"/>
      <c r="E271"/>
      <c r="F271"/>
      <c r="G271"/>
      <c r="H271"/>
      <c r="I271"/>
      <c r="J271"/>
      <c r="K271"/>
      <c r="L271"/>
      <c r="M271"/>
      <c r="N271"/>
      <c r="O271"/>
      <c r="P271"/>
      <c r="Q271"/>
      <c r="R271"/>
      <c r="S271"/>
      <c r="T271"/>
    </row>
    <row r="272" spans="1:20">
      <c r="A272"/>
      <c r="B272"/>
      <c r="C272"/>
      <c r="D272" s="443"/>
      <c r="E272"/>
      <c r="F272"/>
      <c r="G272"/>
      <c r="H272"/>
      <c r="I272"/>
      <c r="J272"/>
      <c r="K272"/>
      <c r="L272"/>
      <c r="M272"/>
      <c r="N272"/>
      <c r="O272"/>
      <c r="P272"/>
      <c r="Q272"/>
      <c r="R272"/>
      <c r="S272"/>
      <c r="T272"/>
    </row>
    <row r="273" spans="1:20">
      <c r="A273"/>
      <c r="B273"/>
      <c r="C273"/>
      <c r="D273" s="443"/>
      <c r="E273"/>
      <c r="F273"/>
      <c r="G273"/>
      <c r="H273"/>
      <c r="I273"/>
      <c r="J273"/>
      <c r="K273"/>
      <c r="L273"/>
      <c r="M273"/>
      <c r="N273"/>
      <c r="O273"/>
      <c r="P273"/>
      <c r="Q273"/>
      <c r="R273"/>
      <c r="S273"/>
      <c r="T273"/>
    </row>
    <row r="274" spans="1:20">
      <c r="A274"/>
      <c r="B274"/>
      <c r="C274"/>
      <c r="D274" s="443"/>
      <c r="E274"/>
      <c r="F274"/>
      <c r="G274"/>
      <c r="H274"/>
      <c r="I274"/>
      <c r="J274"/>
      <c r="K274"/>
      <c r="L274"/>
      <c r="M274"/>
      <c r="N274"/>
      <c r="O274"/>
      <c r="P274"/>
      <c r="Q274"/>
      <c r="R274"/>
      <c r="S274"/>
      <c r="T274"/>
    </row>
    <row r="275" spans="1:20">
      <c r="A275"/>
      <c r="B275"/>
      <c r="C275"/>
      <c r="D275" s="443"/>
      <c r="E275"/>
      <c r="F275"/>
      <c r="G275"/>
      <c r="H275"/>
      <c r="I275"/>
      <c r="J275"/>
      <c r="K275"/>
      <c r="L275"/>
      <c r="M275"/>
      <c r="N275"/>
      <c r="O275"/>
      <c r="P275"/>
      <c r="Q275"/>
      <c r="R275"/>
      <c r="S275"/>
      <c r="T275"/>
    </row>
    <row r="276" spans="1:20">
      <c r="A276"/>
      <c r="B276"/>
      <c r="C276"/>
      <c r="D276" s="443"/>
      <c r="E276"/>
      <c r="F276"/>
      <c r="G276"/>
      <c r="H276"/>
      <c r="I276"/>
      <c r="J276"/>
      <c r="K276"/>
      <c r="L276"/>
      <c r="M276"/>
      <c r="N276"/>
      <c r="O276"/>
      <c r="P276"/>
      <c r="Q276"/>
      <c r="R276"/>
      <c r="S276"/>
      <c r="T276"/>
    </row>
    <row r="277" spans="1:20">
      <c r="A277"/>
      <c r="B277"/>
      <c r="C277"/>
      <c r="D277" s="443"/>
      <c r="E277"/>
      <c r="F277"/>
      <c r="G277"/>
      <c r="H277"/>
      <c r="I277"/>
      <c r="J277"/>
      <c r="K277"/>
      <c r="L277"/>
      <c r="M277"/>
      <c r="N277"/>
      <c r="O277"/>
      <c r="P277"/>
      <c r="Q277"/>
      <c r="R277"/>
      <c r="S277"/>
      <c r="T277"/>
    </row>
    <row r="278" spans="1:20">
      <c r="A278"/>
      <c r="B278"/>
      <c r="C278"/>
      <c r="D278" s="443"/>
      <c r="E278"/>
      <c r="F278"/>
      <c r="G278"/>
      <c r="H278"/>
      <c r="I278"/>
      <c r="J278"/>
      <c r="K278"/>
      <c r="L278"/>
      <c r="M278"/>
      <c r="N278"/>
      <c r="O278"/>
      <c r="P278"/>
      <c r="Q278"/>
      <c r="R278"/>
      <c r="S278"/>
      <c r="T278"/>
    </row>
    <row r="279" spans="1:20">
      <c r="A279"/>
      <c r="B279"/>
      <c r="C279"/>
      <c r="D279" s="443"/>
      <c r="E279"/>
      <c r="F279"/>
      <c r="G279"/>
      <c r="H279"/>
      <c r="I279"/>
      <c r="J279"/>
      <c r="K279"/>
      <c r="L279"/>
      <c r="M279"/>
      <c r="N279"/>
      <c r="O279"/>
      <c r="P279"/>
      <c r="Q279"/>
      <c r="R279"/>
      <c r="S279"/>
      <c r="T279"/>
    </row>
    <row r="280" spans="1:20">
      <c r="A280"/>
      <c r="B280"/>
      <c r="C280"/>
      <c r="D280" s="443"/>
      <c r="E280"/>
      <c r="F280"/>
      <c r="G280"/>
      <c r="H280"/>
      <c r="I280"/>
      <c r="J280"/>
      <c r="K280"/>
      <c r="L280"/>
      <c r="M280"/>
      <c r="N280"/>
      <c r="O280"/>
      <c r="P280"/>
      <c r="Q280"/>
      <c r="R280"/>
      <c r="S280"/>
      <c r="T280"/>
    </row>
    <row r="281" spans="1:20">
      <c r="A281"/>
      <c r="B281"/>
      <c r="C281"/>
      <c r="D281" s="443"/>
      <c r="E281"/>
      <c r="F281"/>
      <c r="G281"/>
      <c r="H281"/>
      <c r="I281"/>
      <c r="J281"/>
      <c r="K281"/>
      <c r="L281"/>
      <c r="M281"/>
      <c r="N281"/>
      <c r="O281"/>
      <c r="P281"/>
      <c r="Q281"/>
      <c r="R281"/>
      <c r="S281"/>
      <c r="T281"/>
    </row>
    <row r="282" spans="1:20">
      <c r="A282"/>
      <c r="B282"/>
      <c r="C282"/>
      <c r="D282" s="443"/>
      <c r="E282"/>
      <c r="F282"/>
      <c r="G282"/>
      <c r="H282"/>
      <c r="I282"/>
      <c r="J282"/>
      <c r="K282"/>
      <c r="L282"/>
      <c r="M282"/>
      <c r="N282"/>
      <c r="O282"/>
      <c r="P282"/>
      <c r="Q282"/>
      <c r="R282"/>
      <c r="S282"/>
      <c r="T282"/>
    </row>
    <row r="283" spans="1:20">
      <c r="A283"/>
      <c r="B283"/>
      <c r="C283"/>
      <c r="D283" s="443"/>
      <c r="E283"/>
      <c r="F283"/>
      <c r="G283"/>
      <c r="H283"/>
      <c r="I283"/>
      <c r="J283"/>
      <c r="K283"/>
      <c r="L283"/>
      <c r="M283"/>
      <c r="N283"/>
      <c r="O283"/>
      <c r="P283"/>
      <c r="Q283"/>
      <c r="R283"/>
      <c r="S283"/>
      <c r="T283"/>
    </row>
    <row r="284" spans="1:20">
      <c r="A284"/>
      <c r="B284"/>
      <c r="C284"/>
      <c r="D284" s="443"/>
      <c r="E284"/>
      <c r="F284"/>
      <c r="G284"/>
      <c r="H284"/>
      <c r="I284"/>
      <c r="J284"/>
      <c r="K284"/>
      <c r="L284"/>
      <c r="M284"/>
      <c r="N284"/>
      <c r="O284"/>
      <c r="P284"/>
      <c r="Q284"/>
      <c r="R284"/>
      <c r="S284"/>
      <c r="T284"/>
    </row>
    <row r="285" spans="1:20">
      <c r="A285"/>
      <c r="B285"/>
      <c r="C285"/>
      <c r="D285" s="443"/>
      <c r="E285"/>
      <c r="F285"/>
      <c r="G285"/>
      <c r="H285"/>
      <c r="I285"/>
      <c r="J285"/>
      <c r="K285"/>
      <c r="L285"/>
      <c r="M285"/>
      <c r="N285"/>
      <c r="O285"/>
      <c r="P285"/>
      <c r="Q285"/>
      <c r="R285"/>
      <c r="S285"/>
      <c r="T285"/>
    </row>
    <row r="286" spans="1:20">
      <c r="A286"/>
      <c r="B286"/>
      <c r="C286"/>
      <c r="D286" s="443"/>
      <c r="E286"/>
      <c r="F286"/>
      <c r="G286"/>
      <c r="H286"/>
      <c r="I286"/>
      <c r="J286"/>
      <c r="K286"/>
      <c r="L286"/>
      <c r="M286"/>
      <c r="N286"/>
      <c r="O286"/>
      <c r="P286"/>
      <c r="Q286"/>
      <c r="R286"/>
      <c r="S286"/>
      <c r="T286"/>
    </row>
    <row r="287" spans="1:20">
      <c r="A287"/>
      <c r="B287"/>
      <c r="C287"/>
      <c r="D287" s="443"/>
      <c r="E287"/>
      <c r="F287"/>
      <c r="G287"/>
      <c r="H287"/>
      <c r="I287"/>
      <c r="J287"/>
      <c r="K287"/>
      <c r="L287"/>
      <c r="M287"/>
      <c r="N287"/>
      <c r="O287"/>
      <c r="P287"/>
      <c r="Q287"/>
      <c r="R287"/>
      <c r="S287"/>
      <c r="T287"/>
    </row>
    <row r="288" spans="1:20">
      <c r="A288"/>
      <c r="B288"/>
      <c r="C288"/>
      <c r="D288" s="443"/>
      <c r="E288"/>
      <c r="F288"/>
      <c r="G288"/>
      <c r="H288"/>
      <c r="I288"/>
      <c r="J288"/>
      <c r="K288"/>
      <c r="L288"/>
      <c r="M288"/>
      <c r="N288"/>
      <c r="O288"/>
      <c r="P288"/>
      <c r="Q288"/>
      <c r="R288"/>
      <c r="S288"/>
      <c r="T288"/>
    </row>
    <row r="289" spans="1:20">
      <c r="A289"/>
      <c r="B289"/>
      <c r="C289"/>
      <c r="D289" s="443"/>
      <c r="E289"/>
      <c r="F289"/>
      <c r="G289"/>
      <c r="H289"/>
      <c r="I289"/>
      <c r="J289"/>
      <c r="K289"/>
      <c r="L289"/>
      <c r="M289"/>
      <c r="N289"/>
      <c r="O289"/>
      <c r="P289"/>
      <c r="Q289"/>
      <c r="R289"/>
      <c r="S289"/>
      <c r="T289"/>
    </row>
    <row r="290" spans="1:20">
      <c r="A290"/>
      <c r="B290"/>
      <c r="C290"/>
      <c r="D290" s="443"/>
      <c r="E290"/>
      <c r="F290"/>
      <c r="G290"/>
      <c r="H290"/>
      <c r="I290"/>
      <c r="J290"/>
      <c r="K290"/>
      <c r="L290"/>
      <c r="M290"/>
      <c r="N290"/>
      <c r="O290"/>
      <c r="P290"/>
      <c r="Q290"/>
      <c r="R290"/>
      <c r="S290"/>
      <c r="T290"/>
    </row>
    <row r="291" spans="1:20">
      <c r="A291"/>
      <c r="B291"/>
      <c r="C291"/>
      <c r="D291" s="443"/>
      <c r="E291"/>
      <c r="F291"/>
      <c r="G291"/>
      <c r="H291"/>
      <c r="I291"/>
      <c r="J291"/>
      <c r="K291"/>
      <c r="L291"/>
      <c r="M291"/>
      <c r="N291"/>
      <c r="O291"/>
      <c r="P291"/>
      <c r="Q291"/>
      <c r="R291"/>
      <c r="S291"/>
      <c r="T291"/>
    </row>
    <row r="292" spans="1:20">
      <c r="A292"/>
      <c r="B292"/>
      <c r="C292"/>
      <c r="D292" s="443"/>
      <c r="E292"/>
      <c r="F292"/>
      <c r="G292"/>
      <c r="H292"/>
      <c r="I292"/>
      <c r="J292"/>
      <c r="K292"/>
      <c r="L292"/>
      <c r="M292"/>
      <c r="N292"/>
      <c r="O292"/>
      <c r="P292"/>
      <c r="Q292"/>
      <c r="R292"/>
      <c r="S292"/>
      <c r="T292"/>
    </row>
    <row r="293" spans="1:20">
      <c r="A293"/>
      <c r="B293"/>
      <c r="C293"/>
      <c r="D293" s="443"/>
      <c r="E293"/>
      <c r="F293"/>
      <c r="G293"/>
      <c r="H293"/>
      <c r="I293"/>
      <c r="J293"/>
      <c r="K293"/>
      <c r="L293"/>
      <c r="M293"/>
      <c r="N293"/>
      <c r="O293"/>
      <c r="P293"/>
      <c r="Q293"/>
      <c r="R293"/>
      <c r="S293"/>
      <c r="T293"/>
    </row>
    <row r="294" spans="1:20">
      <c r="A294"/>
      <c r="B294"/>
      <c r="C294"/>
      <c r="D294" s="443"/>
      <c r="E294"/>
      <c r="F294"/>
      <c r="G294"/>
      <c r="H294"/>
      <c r="I294"/>
      <c r="J294"/>
      <c r="K294"/>
      <c r="L294"/>
      <c r="M294"/>
      <c r="N294"/>
      <c r="O294"/>
      <c r="P294"/>
      <c r="Q294"/>
      <c r="R294"/>
      <c r="S294"/>
      <c r="T294"/>
    </row>
    <row r="295" spans="1:20">
      <c r="A295"/>
      <c r="B295"/>
      <c r="C295"/>
      <c r="D295" s="443"/>
      <c r="E295"/>
      <c r="F295"/>
      <c r="G295"/>
      <c r="H295"/>
      <c r="I295"/>
      <c r="J295"/>
      <c r="K295"/>
      <c r="L295"/>
      <c r="M295"/>
      <c r="N295"/>
      <c r="O295"/>
      <c r="P295"/>
      <c r="Q295"/>
      <c r="R295"/>
      <c r="S295"/>
      <c r="T295"/>
    </row>
    <row r="296" spans="1:20">
      <c r="A296"/>
      <c r="B296"/>
      <c r="C296"/>
      <c r="D296" s="443"/>
      <c r="E296"/>
      <c r="F296"/>
      <c r="G296"/>
      <c r="H296"/>
      <c r="I296"/>
      <c r="J296"/>
      <c r="K296"/>
      <c r="L296"/>
      <c r="M296"/>
      <c r="N296"/>
      <c r="O296"/>
      <c r="P296"/>
      <c r="Q296"/>
      <c r="R296"/>
      <c r="S296"/>
      <c r="T296"/>
    </row>
    <row r="297" spans="1:20">
      <c r="A297"/>
      <c r="B297"/>
      <c r="C297"/>
      <c r="D297" s="443"/>
      <c r="E297"/>
      <c r="F297"/>
      <c r="G297"/>
      <c r="H297"/>
      <c r="I297"/>
      <c r="J297"/>
      <c r="K297"/>
      <c r="L297"/>
      <c r="M297"/>
      <c r="N297"/>
      <c r="O297"/>
      <c r="P297"/>
      <c r="Q297"/>
      <c r="R297"/>
      <c r="S297"/>
      <c r="T297"/>
    </row>
    <row r="298" spans="1:20">
      <c r="A298"/>
      <c r="B298"/>
      <c r="C298"/>
      <c r="D298" s="443"/>
      <c r="E298"/>
      <c r="F298"/>
      <c r="G298"/>
      <c r="H298"/>
      <c r="I298"/>
      <c r="J298"/>
      <c r="K298"/>
      <c r="L298"/>
      <c r="M298"/>
      <c r="N298"/>
      <c r="O298"/>
      <c r="P298"/>
      <c r="Q298"/>
      <c r="R298"/>
      <c r="S298"/>
      <c r="T298"/>
    </row>
    <row r="299" spans="1:20">
      <c r="A299"/>
      <c r="B299"/>
      <c r="C299"/>
      <c r="D299" s="443"/>
      <c r="E299"/>
      <c r="F299"/>
      <c r="G299"/>
      <c r="H299"/>
      <c r="I299"/>
      <c r="J299"/>
      <c r="K299"/>
      <c r="L299"/>
      <c r="M299"/>
      <c r="N299"/>
      <c r="O299"/>
      <c r="P299"/>
      <c r="Q299"/>
      <c r="R299"/>
      <c r="S299"/>
      <c r="T299"/>
    </row>
    <row r="300" spans="1:20">
      <c r="A300"/>
      <c r="B300"/>
      <c r="C300"/>
      <c r="D300" s="443"/>
      <c r="E300"/>
      <c r="F300"/>
      <c r="G300"/>
      <c r="H300"/>
      <c r="I300"/>
      <c r="J300"/>
      <c r="K300"/>
      <c r="L300"/>
      <c r="M300"/>
      <c r="N300"/>
      <c r="O300"/>
      <c r="P300"/>
      <c r="Q300"/>
      <c r="R300"/>
      <c r="S300"/>
      <c r="T300"/>
    </row>
    <row r="301" spans="1:20">
      <c r="A301"/>
      <c r="B301"/>
      <c r="C301"/>
      <c r="D301" s="443"/>
      <c r="E301"/>
      <c r="F301"/>
      <c r="G301"/>
      <c r="H301"/>
      <c r="I301"/>
      <c r="J301"/>
      <c r="K301"/>
      <c r="L301"/>
      <c r="M301"/>
      <c r="N301"/>
      <c r="O301"/>
      <c r="P301"/>
      <c r="Q301"/>
      <c r="R301"/>
      <c r="S301"/>
      <c r="T301"/>
    </row>
    <row r="302" spans="1:20">
      <c r="A302"/>
      <c r="B302"/>
      <c r="C302"/>
      <c r="D302" s="443"/>
      <c r="E302"/>
      <c r="F302"/>
      <c r="G302"/>
      <c r="H302"/>
      <c r="I302"/>
      <c r="J302"/>
      <c r="K302"/>
      <c r="L302"/>
      <c r="M302"/>
      <c r="N302"/>
      <c r="O302"/>
      <c r="P302"/>
      <c r="Q302"/>
      <c r="R302"/>
      <c r="S302"/>
      <c r="T302"/>
    </row>
    <row r="303" spans="1:20">
      <c r="A303"/>
      <c r="B303"/>
      <c r="C303"/>
      <c r="D303" s="443"/>
      <c r="E303"/>
      <c r="F303"/>
      <c r="G303"/>
      <c r="H303"/>
      <c r="I303"/>
      <c r="J303"/>
      <c r="K303"/>
      <c r="L303"/>
      <c r="M303"/>
      <c r="N303"/>
      <c r="O303"/>
      <c r="P303"/>
      <c r="Q303"/>
      <c r="R303"/>
      <c r="S303"/>
      <c r="T303"/>
    </row>
    <row r="304" spans="1:20">
      <c r="A304"/>
      <c r="B304"/>
      <c r="C304"/>
      <c r="D304" s="443"/>
      <c r="E304"/>
      <c r="F304"/>
      <c r="G304"/>
      <c r="H304"/>
      <c r="I304"/>
      <c r="J304"/>
      <c r="K304"/>
      <c r="L304"/>
      <c r="M304"/>
      <c r="N304"/>
      <c r="O304"/>
      <c r="P304"/>
      <c r="Q304"/>
      <c r="R304"/>
      <c r="S304"/>
      <c r="T304"/>
    </row>
    <row r="305" spans="1:20">
      <c r="A305"/>
      <c r="B305"/>
      <c r="C305"/>
      <c r="D305" s="443"/>
      <c r="E305"/>
      <c r="F305"/>
      <c r="G305"/>
      <c r="H305"/>
      <c r="I305"/>
      <c r="J305"/>
      <c r="K305"/>
      <c r="L305"/>
      <c r="M305"/>
      <c r="N305"/>
      <c r="O305"/>
      <c r="P305"/>
      <c r="Q305"/>
      <c r="R305"/>
      <c r="S305"/>
      <c r="T305"/>
    </row>
    <row r="306" spans="1:20">
      <c r="A306"/>
      <c r="B306"/>
      <c r="C306"/>
      <c r="D306" s="443"/>
      <c r="E306"/>
      <c r="F306"/>
      <c r="G306"/>
      <c r="H306"/>
      <c r="I306"/>
      <c r="J306"/>
      <c r="K306"/>
      <c r="L306"/>
      <c r="M306"/>
      <c r="N306"/>
      <c r="O306"/>
      <c r="P306"/>
      <c r="Q306"/>
      <c r="R306"/>
      <c r="S306"/>
      <c r="T306"/>
    </row>
    <row r="307" spans="1:20">
      <c r="A307"/>
      <c r="B307"/>
      <c r="C307"/>
      <c r="D307" s="443"/>
      <c r="E307"/>
      <c r="F307"/>
      <c r="G307"/>
      <c r="H307"/>
      <c r="I307"/>
      <c r="J307"/>
      <c r="K307"/>
      <c r="L307"/>
      <c r="M307"/>
      <c r="N307"/>
      <c r="O307"/>
      <c r="P307"/>
      <c r="Q307"/>
      <c r="R307"/>
      <c r="S307"/>
      <c r="T307"/>
    </row>
    <row r="308" spans="1:20">
      <c r="A308"/>
      <c r="B308"/>
      <c r="C308"/>
      <c r="D308" s="443"/>
      <c r="E308"/>
      <c r="F308"/>
      <c r="G308"/>
      <c r="H308"/>
      <c r="I308"/>
      <c r="J308"/>
      <c r="K308"/>
      <c r="L308"/>
      <c r="M308"/>
      <c r="N308"/>
      <c r="O308"/>
      <c r="P308"/>
      <c r="Q308"/>
      <c r="R308"/>
      <c r="S308"/>
      <c r="T308"/>
    </row>
    <row r="309" spans="1:20">
      <c r="A309"/>
      <c r="B309"/>
      <c r="C309"/>
      <c r="D309" s="443"/>
      <c r="E309"/>
      <c r="F309"/>
      <c r="G309"/>
      <c r="H309"/>
      <c r="I309"/>
      <c r="J309"/>
      <c r="K309"/>
      <c r="L309"/>
      <c r="M309"/>
      <c r="N309"/>
      <c r="O309"/>
      <c r="P309"/>
      <c r="Q309"/>
      <c r="R309"/>
      <c r="S309"/>
      <c r="T309"/>
    </row>
    <row r="310" spans="1:20">
      <c r="A310"/>
      <c r="B310"/>
      <c r="C310"/>
      <c r="D310" s="443"/>
      <c r="E310"/>
      <c r="F310"/>
      <c r="G310"/>
      <c r="H310"/>
      <c r="I310"/>
      <c r="J310"/>
      <c r="K310"/>
      <c r="L310"/>
      <c r="M310"/>
      <c r="N310"/>
      <c r="O310"/>
      <c r="P310"/>
      <c r="Q310"/>
      <c r="R310"/>
      <c r="S310"/>
      <c r="T310"/>
    </row>
    <row r="311" spans="1:20">
      <c r="A311"/>
      <c r="B311"/>
      <c r="C311"/>
      <c r="D311" s="443"/>
      <c r="E311"/>
      <c r="F311"/>
      <c r="G311"/>
      <c r="H311"/>
      <c r="I311"/>
      <c r="J311"/>
      <c r="K311"/>
      <c r="L311"/>
      <c r="M311"/>
      <c r="N311"/>
      <c r="O311"/>
      <c r="P311"/>
      <c r="Q311"/>
      <c r="R311"/>
      <c r="S311"/>
      <c r="T311"/>
    </row>
    <row r="312" spans="1:20">
      <c r="A312"/>
      <c r="B312"/>
      <c r="C312"/>
      <c r="D312" s="443"/>
      <c r="E312"/>
      <c r="F312"/>
      <c r="G312"/>
      <c r="H312"/>
      <c r="I312"/>
      <c r="J312"/>
      <c r="K312"/>
      <c r="L312"/>
      <c r="M312"/>
      <c r="N312"/>
      <c r="O312"/>
      <c r="P312"/>
      <c r="Q312"/>
      <c r="R312"/>
      <c r="S312"/>
      <c r="T312"/>
    </row>
    <row r="313" spans="1:20">
      <c r="A313"/>
      <c r="B313"/>
      <c r="C313"/>
      <c r="D313" s="443"/>
      <c r="E313"/>
      <c r="F313"/>
      <c r="G313"/>
      <c r="H313"/>
      <c r="I313"/>
      <c r="J313"/>
      <c r="K313"/>
      <c r="L313"/>
      <c r="M313"/>
      <c r="N313"/>
      <c r="O313"/>
      <c r="P313"/>
      <c r="Q313"/>
      <c r="R313"/>
      <c r="S313"/>
      <c r="T313"/>
    </row>
    <row r="314" spans="1:20">
      <c r="A314"/>
      <c r="B314"/>
      <c r="C314"/>
      <c r="D314" s="443"/>
      <c r="E314"/>
      <c r="F314"/>
      <c r="G314"/>
      <c r="H314"/>
      <c r="I314"/>
      <c r="J314"/>
      <c r="K314"/>
      <c r="L314"/>
      <c r="M314"/>
      <c r="N314"/>
      <c r="O314"/>
      <c r="P314"/>
      <c r="Q314"/>
      <c r="R314"/>
      <c r="S314"/>
      <c r="T314"/>
    </row>
    <row r="315" spans="1:20">
      <c r="A315"/>
      <c r="B315"/>
      <c r="C315"/>
      <c r="D315" s="443"/>
      <c r="E315"/>
      <c r="F315"/>
      <c r="G315"/>
      <c r="H315"/>
      <c r="I315"/>
      <c r="J315"/>
      <c r="K315"/>
      <c r="L315"/>
      <c r="M315"/>
      <c r="N315"/>
      <c r="O315"/>
      <c r="P315"/>
      <c r="Q315"/>
      <c r="R315"/>
      <c r="S315"/>
      <c r="T315"/>
    </row>
    <row r="316" spans="1:20">
      <c r="A316"/>
      <c r="B316"/>
      <c r="C316"/>
      <c r="D316" s="443"/>
      <c r="E316"/>
      <c r="F316"/>
      <c r="G316"/>
      <c r="H316"/>
      <c r="I316"/>
      <c r="J316"/>
      <c r="K316"/>
      <c r="L316"/>
      <c r="M316"/>
      <c r="N316"/>
      <c r="O316"/>
      <c r="P316"/>
      <c r="Q316"/>
      <c r="R316"/>
      <c r="S316"/>
      <c r="T316"/>
    </row>
    <row r="317" spans="1:20">
      <c r="A317"/>
      <c r="B317"/>
      <c r="C317"/>
      <c r="D317" s="443"/>
      <c r="E317"/>
      <c r="F317"/>
      <c r="G317"/>
      <c r="H317"/>
      <c r="I317"/>
      <c r="J317"/>
      <c r="K317"/>
      <c r="L317"/>
      <c r="M317"/>
      <c r="N317"/>
      <c r="O317"/>
      <c r="P317"/>
      <c r="Q317"/>
      <c r="R317"/>
      <c r="S317"/>
      <c r="T317"/>
    </row>
    <row r="318" spans="1:20">
      <c r="A318"/>
      <c r="B318"/>
      <c r="C318"/>
      <c r="D318" s="443"/>
      <c r="E318"/>
      <c r="F318"/>
      <c r="G318"/>
      <c r="H318"/>
      <c r="I318"/>
      <c r="J318"/>
      <c r="K318"/>
      <c r="L318"/>
      <c r="M318"/>
      <c r="N318"/>
      <c r="O318"/>
      <c r="P318"/>
      <c r="Q318"/>
      <c r="R318"/>
      <c r="S318"/>
      <c r="T318"/>
    </row>
    <row r="319" spans="1:20">
      <c r="A319"/>
      <c r="B319"/>
      <c r="C319"/>
      <c r="D319" s="443"/>
      <c r="E319"/>
      <c r="F319"/>
      <c r="G319"/>
      <c r="H319"/>
      <c r="I319"/>
      <c r="J319"/>
      <c r="K319"/>
      <c r="L319"/>
      <c r="M319"/>
      <c r="N319"/>
      <c r="O319"/>
      <c r="P319"/>
      <c r="Q319"/>
      <c r="R319"/>
      <c r="S319"/>
      <c r="T319"/>
    </row>
    <row r="320" spans="1:20">
      <c r="A320"/>
      <c r="B320"/>
      <c r="C320"/>
      <c r="D320" s="443"/>
      <c r="E320"/>
      <c r="F320"/>
      <c r="G320"/>
      <c r="H320"/>
      <c r="I320"/>
      <c r="J320"/>
      <c r="K320"/>
      <c r="L320"/>
      <c r="M320"/>
      <c r="N320"/>
      <c r="O320"/>
      <c r="P320"/>
      <c r="Q320"/>
      <c r="R320"/>
      <c r="S320"/>
      <c r="T320"/>
    </row>
    <row r="321" spans="1:20">
      <c r="A321"/>
      <c r="B321"/>
      <c r="C321"/>
      <c r="D321" s="443"/>
      <c r="E321"/>
      <c r="F321"/>
      <c r="G321"/>
      <c r="H321"/>
      <c r="I321"/>
      <c r="J321"/>
      <c r="K321"/>
      <c r="L321"/>
      <c r="M321"/>
      <c r="N321"/>
      <c r="O321"/>
      <c r="P321"/>
      <c r="Q321"/>
      <c r="R321"/>
      <c r="S321"/>
      <c r="T321"/>
    </row>
    <row r="322" spans="1:20">
      <c r="A322"/>
      <c r="B322"/>
      <c r="C322"/>
      <c r="D322" s="443"/>
      <c r="E322"/>
      <c r="F322"/>
      <c r="G322"/>
      <c r="H322"/>
      <c r="I322"/>
      <c r="J322"/>
      <c r="K322"/>
      <c r="L322"/>
      <c r="M322"/>
      <c r="N322"/>
      <c r="O322"/>
      <c r="P322"/>
      <c r="Q322"/>
      <c r="R322"/>
      <c r="S322"/>
      <c r="T322"/>
    </row>
    <row r="323" spans="1:20">
      <c r="A323"/>
      <c r="B323"/>
      <c r="C323"/>
      <c r="D323" s="443"/>
      <c r="E323"/>
      <c r="F323"/>
      <c r="G323"/>
      <c r="H323"/>
      <c r="I323"/>
      <c r="J323"/>
      <c r="K323"/>
      <c r="L323"/>
      <c r="M323"/>
      <c r="N323"/>
      <c r="O323"/>
      <c r="P323"/>
      <c r="Q323"/>
      <c r="R323"/>
      <c r="S323"/>
      <c r="T323"/>
    </row>
    <row r="324" spans="1:20">
      <c r="A324"/>
      <c r="B324"/>
      <c r="C324"/>
      <c r="D324" s="443"/>
      <c r="E324"/>
      <c r="F324"/>
      <c r="G324"/>
      <c r="H324"/>
      <c r="I324"/>
      <c r="J324"/>
      <c r="K324"/>
      <c r="L324"/>
      <c r="M324"/>
      <c r="N324"/>
      <c r="O324"/>
      <c r="P324"/>
      <c r="Q324"/>
      <c r="R324"/>
      <c r="S324"/>
      <c r="T324"/>
    </row>
    <row r="325" spans="1:20">
      <c r="A325"/>
      <c r="B325"/>
      <c r="C325"/>
      <c r="D325" s="443"/>
      <c r="E325"/>
      <c r="F325"/>
      <c r="G325"/>
      <c r="H325"/>
      <c r="I325"/>
      <c r="J325"/>
      <c r="K325"/>
      <c r="L325"/>
      <c r="M325"/>
      <c r="N325"/>
      <c r="O325"/>
      <c r="P325"/>
      <c r="Q325"/>
      <c r="R325"/>
      <c r="S325"/>
      <c r="T325"/>
    </row>
    <row r="326" spans="1:20">
      <c r="A326"/>
      <c r="B326"/>
      <c r="C326"/>
      <c r="D326" s="443"/>
      <c r="E326"/>
      <c r="F326"/>
      <c r="G326"/>
      <c r="H326"/>
      <c r="I326"/>
      <c r="J326"/>
      <c r="K326"/>
      <c r="L326"/>
      <c r="M326"/>
      <c r="N326"/>
      <c r="O326"/>
      <c r="P326"/>
      <c r="Q326"/>
      <c r="R326"/>
      <c r="S326"/>
      <c r="T326"/>
    </row>
    <row r="327" spans="1:20">
      <c r="A327"/>
      <c r="B327"/>
      <c r="C327"/>
      <c r="D327" s="443"/>
      <c r="E327"/>
      <c r="F327"/>
      <c r="G327"/>
      <c r="H327"/>
      <c r="I327"/>
      <c r="J327"/>
      <c r="K327"/>
      <c r="L327"/>
      <c r="M327"/>
      <c r="N327"/>
      <c r="O327"/>
      <c r="P327"/>
      <c r="Q327"/>
      <c r="R327"/>
      <c r="S327"/>
      <c r="T327"/>
    </row>
    <row r="328" spans="1:20">
      <c r="A328"/>
      <c r="B328"/>
      <c r="C328"/>
      <c r="D328" s="443"/>
      <c r="E328"/>
      <c r="F328"/>
      <c r="G328"/>
      <c r="H328"/>
      <c r="I328"/>
      <c r="J328"/>
      <c r="K328"/>
      <c r="L328"/>
      <c r="M328"/>
      <c r="N328"/>
      <c r="O328"/>
      <c r="P328"/>
      <c r="Q328"/>
      <c r="R328"/>
      <c r="S328"/>
      <c r="T328"/>
    </row>
    <row r="329" spans="1:20">
      <c r="A329"/>
      <c r="B329"/>
      <c r="C329"/>
      <c r="D329" s="443"/>
      <c r="E329"/>
      <c r="F329"/>
      <c r="G329"/>
      <c r="H329"/>
      <c r="I329"/>
      <c r="J329"/>
      <c r="K329"/>
      <c r="L329"/>
      <c r="M329"/>
      <c r="N329"/>
      <c r="O329"/>
      <c r="P329"/>
      <c r="Q329"/>
      <c r="R329"/>
      <c r="S329"/>
      <c r="T329"/>
    </row>
    <row r="330" spans="1:20">
      <c r="A330"/>
      <c r="B330"/>
      <c r="C330"/>
      <c r="D330" s="443"/>
      <c r="E330"/>
      <c r="F330"/>
      <c r="G330"/>
      <c r="H330"/>
      <c r="I330"/>
      <c r="J330"/>
      <c r="K330"/>
      <c r="L330"/>
      <c r="M330"/>
      <c r="N330"/>
      <c r="O330"/>
      <c r="P330"/>
      <c r="Q330"/>
      <c r="R330"/>
      <c r="S330"/>
      <c r="T330"/>
    </row>
    <row r="331" spans="1:20">
      <c r="A331"/>
      <c r="B331"/>
      <c r="C331"/>
      <c r="D331" s="443"/>
      <c r="E331"/>
      <c r="F331"/>
      <c r="G331"/>
      <c r="H331"/>
      <c r="I331"/>
      <c r="J331"/>
      <c r="K331"/>
      <c r="L331"/>
      <c r="M331"/>
      <c r="N331"/>
      <c r="O331"/>
      <c r="P331"/>
      <c r="Q331"/>
      <c r="R331"/>
      <c r="S331"/>
      <c r="T331"/>
    </row>
    <row r="332" spans="1:20">
      <c r="A332"/>
      <c r="B332"/>
      <c r="C332"/>
      <c r="D332" s="443"/>
      <c r="E332"/>
      <c r="F332"/>
      <c r="G332"/>
      <c r="H332"/>
      <c r="I332"/>
      <c r="J332"/>
      <c r="K332"/>
      <c r="L332"/>
      <c r="M332"/>
      <c r="N332"/>
      <c r="O332"/>
      <c r="P332"/>
      <c r="Q332"/>
      <c r="R332"/>
      <c r="S332"/>
      <c r="T332"/>
    </row>
    <row r="333" spans="1:20">
      <c r="A333"/>
      <c r="B333"/>
      <c r="C333"/>
      <c r="D333" s="443"/>
      <c r="E333"/>
      <c r="F333"/>
      <c r="G333"/>
      <c r="H333"/>
      <c r="I333"/>
      <c r="J333"/>
      <c r="K333"/>
      <c r="L333"/>
      <c r="M333"/>
      <c r="N333"/>
      <c r="O333"/>
      <c r="P333"/>
      <c r="Q333"/>
      <c r="R333"/>
      <c r="S333"/>
      <c r="T333"/>
    </row>
    <row r="334" spans="1:20">
      <c r="A334"/>
      <c r="B334"/>
      <c r="C334"/>
      <c r="D334" s="443"/>
      <c r="E334"/>
      <c r="F334"/>
      <c r="G334"/>
      <c r="H334"/>
      <c r="I334"/>
      <c r="J334"/>
      <c r="K334"/>
      <c r="L334"/>
      <c r="M334"/>
      <c r="N334"/>
      <c r="O334"/>
      <c r="P334"/>
      <c r="Q334"/>
      <c r="R334"/>
      <c r="S334"/>
      <c r="T334"/>
    </row>
    <row r="335" spans="1:20">
      <c r="A335"/>
      <c r="B335"/>
      <c r="C335"/>
      <c r="D335" s="443"/>
      <c r="E335"/>
      <c r="F335"/>
      <c r="G335"/>
      <c r="H335"/>
      <c r="I335"/>
      <c r="J335"/>
      <c r="K335"/>
      <c r="L335"/>
      <c r="M335"/>
      <c r="N335"/>
      <c r="O335"/>
      <c r="P335"/>
      <c r="Q335"/>
      <c r="R335"/>
      <c r="S335"/>
      <c r="T335"/>
    </row>
    <row r="336" spans="1:20">
      <c r="A336"/>
      <c r="B336"/>
      <c r="C336"/>
      <c r="D336" s="443"/>
      <c r="E336"/>
      <c r="F336"/>
      <c r="G336"/>
      <c r="H336"/>
      <c r="I336"/>
      <c r="J336"/>
      <c r="K336"/>
      <c r="L336"/>
      <c r="M336"/>
      <c r="N336"/>
      <c r="O336"/>
      <c r="P336"/>
      <c r="Q336"/>
      <c r="R336"/>
      <c r="S336"/>
      <c r="T336"/>
    </row>
    <row r="337" spans="1:20">
      <c r="A337"/>
      <c r="B337"/>
      <c r="C337"/>
      <c r="D337" s="443"/>
      <c r="E337"/>
      <c r="F337"/>
      <c r="G337"/>
      <c r="H337"/>
      <c r="I337"/>
      <c r="J337"/>
      <c r="K337"/>
      <c r="L337"/>
      <c r="M337"/>
      <c r="N337"/>
      <c r="O337"/>
      <c r="P337"/>
      <c r="Q337"/>
      <c r="R337"/>
      <c r="S337"/>
      <c r="T337"/>
    </row>
    <row r="338" spans="1:20">
      <c r="A338"/>
      <c r="B338"/>
      <c r="C338"/>
      <c r="D338" s="443"/>
      <c r="E338"/>
      <c r="F338"/>
      <c r="G338"/>
      <c r="H338"/>
      <c r="I338"/>
      <c r="J338"/>
      <c r="K338"/>
      <c r="L338"/>
      <c r="M338"/>
      <c r="N338"/>
      <c r="O338"/>
      <c r="P338"/>
      <c r="Q338"/>
      <c r="R338"/>
      <c r="S338"/>
      <c r="T338"/>
    </row>
    <row r="339" spans="1:20">
      <c r="A339"/>
      <c r="B339"/>
      <c r="C339"/>
      <c r="D339" s="443"/>
      <c r="E339"/>
      <c r="F339"/>
      <c r="G339"/>
      <c r="H339"/>
      <c r="I339"/>
      <c r="J339"/>
      <c r="K339"/>
      <c r="L339"/>
      <c r="M339"/>
      <c r="N339"/>
      <c r="O339"/>
      <c r="P339"/>
      <c r="Q339"/>
      <c r="R339"/>
      <c r="S339"/>
      <c r="T339"/>
    </row>
    <row r="340" spans="1:20">
      <c r="A340"/>
      <c r="B340"/>
      <c r="C340"/>
      <c r="D340" s="443"/>
      <c r="E340"/>
      <c r="F340"/>
      <c r="G340"/>
      <c r="H340"/>
      <c r="I340"/>
      <c r="J340"/>
      <c r="K340"/>
      <c r="L340"/>
      <c r="M340"/>
      <c r="N340"/>
      <c r="O340"/>
      <c r="P340"/>
      <c r="Q340"/>
      <c r="R340"/>
      <c r="S340"/>
      <c r="T340"/>
    </row>
    <row r="341" spans="1:20">
      <c r="A341"/>
      <c r="B341"/>
      <c r="C341"/>
      <c r="D341" s="443"/>
      <c r="E341"/>
      <c r="F341"/>
      <c r="G341"/>
      <c r="H341"/>
      <c r="I341"/>
      <c r="J341"/>
      <c r="K341"/>
      <c r="L341"/>
      <c r="M341"/>
      <c r="N341"/>
      <c r="O341"/>
      <c r="P341"/>
      <c r="Q341"/>
      <c r="R341"/>
      <c r="S341"/>
      <c r="T341"/>
    </row>
    <row r="342" spans="1:20">
      <c r="A342"/>
      <c r="B342"/>
      <c r="C342"/>
      <c r="D342" s="443"/>
      <c r="E342"/>
      <c r="F342"/>
      <c r="G342"/>
      <c r="H342"/>
      <c r="I342"/>
      <c r="J342"/>
      <c r="K342"/>
      <c r="L342"/>
      <c r="M342"/>
      <c r="N342"/>
      <c r="O342"/>
      <c r="P342"/>
      <c r="Q342"/>
      <c r="R342"/>
      <c r="S342"/>
      <c r="T342"/>
    </row>
    <row r="343" spans="1:20">
      <c r="A343"/>
      <c r="B343"/>
      <c r="C343"/>
      <c r="D343" s="443"/>
      <c r="E343"/>
      <c r="F343"/>
      <c r="G343"/>
      <c r="H343"/>
      <c r="I343"/>
      <c r="J343"/>
      <c r="K343"/>
      <c r="L343"/>
      <c r="M343"/>
      <c r="N343"/>
      <c r="O343"/>
      <c r="P343"/>
      <c r="Q343"/>
      <c r="R343"/>
      <c r="S343"/>
      <c r="T343"/>
    </row>
    <row r="344" spans="1:20">
      <c r="D344" s="198"/>
    </row>
    <row r="345" spans="1:20">
      <c r="D345" s="198"/>
    </row>
  </sheetData>
  <mergeCells count="4">
    <mergeCell ref="A4:L4"/>
    <mergeCell ref="A5:L5"/>
    <mergeCell ref="A6:L6"/>
    <mergeCell ref="A7:L7"/>
  </mergeCells>
  <phoneticPr fontId="5" type="noConversion"/>
  <pageMargins left="0.75" right="0.75" top="1" bottom="1" header="0.5" footer="0.5"/>
  <pageSetup scale="61"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indexed="13"/>
    <pageSetUpPr fitToPage="1"/>
  </sheetPr>
  <dimension ref="A1:L304"/>
  <sheetViews>
    <sheetView zoomScale="80" zoomScaleNormal="80" workbookViewId="0">
      <selection activeCell="A4" sqref="A4:E4"/>
    </sheetView>
  </sheetViews>
  <sheetFormatPr defaultRowHeight="12.75"/>
  <cols>
    <col min="1" max="1" width="4.42578125" bestFit="1" customWidth="1"/>
    <col min="2" max="2" width="52.5703125" bestFit="1" customWidth="1"/>
    <col min="3" max="3" width="18.140625" style="14" bestFit="1" customWidth="1"/>
    <col min="4" max="4" width="17.5703125" bestFit="1" customWidth="1"/>
    <col min="5" max="5" width="23.85546875" bestFit="1" customWidth="1"/>
  </cols>
  <sheetData>
    <row r="1" spans="1:12">
      <c r="E1" t="str">
        <f>'Title Input and Macros'!B7</f>
        <v>Docket No. RP16-299-000</v>
      </c>
    </row>
    <row r="2" spans="1:12">
      <c r="E2" t="s">
        <v>29</v>
      </c>
    </row>
    <row r="3" spans="1:12">
      <c r="E3" t="s">
        <v>67</v>
      </c>
    </row>
    <row r="4" spans="1:12">
      <c r="A4" s="929" t="str">
        <f>+'H-2 P1'!A4:I4</f>
        <v>Tuscarora Gas Transmission Company</v>
      </c>
      <c r="B4" s="927"/>
      <c r="C4" s="927"/>
      <c r="D4" s="927"/>
      <c r="E4" s="927"/>
    </row>
    <row r="5" spans="1:12">
      <c r="A5" s="927" t="s">
        <v>30</v>
      </c>
      <c r="B5" s="927"/>
      <c r="C5" s="927"/>
      <c r="D5" s="927"/>
      <c r="E5" s="927"/>
    </row>
    <row r="6" spans="1:12">
      <c r="A6" s="929" t="str">
        <f>'Title Input and Macros'!B9</f>
        <v>For the Twelve Months Ended December 31, 2015, As Adjusted</v>
      </c>
      <c r="B6" s="927"/>
      <c r="C6" s="927"/>
      <c r="D6" s="927"/>
      <c r="E6" s="927"/>
    </row>
    <row r="7" spans="1:12">
      <c r="A7" s="929"/>
      <c r="B7" s="929"/>
      <c r="C7" s="929"/>
      <c r="D7" s="929"/>
      <c r="E7" s="929"/>
    </row>
    <row r="8" spans="1:12" s="2" customFormat="1">
      <c r="C8" s="14"/>
    </row>
    <row r="9" spans="1:12">
      <c r="A9" s="2" t="s">
        <v>352</v>
      </c>
      <c r="B9" s="2"/>
      <c r="C9" s="14" t="s">
        <v>400</v>
      </c>
      <c r="D9" s="2"/>
      <c r="E9" s="621" t="s">
        <v>357</v>
      </c>
    </row>
    <row r="10" spans="1:12">
      <c r="A10" s="3" t="s">
        <v>353</v>
      </c>
      <c r="B10" s="3" t="s">
        <v>62</v>
      </c>
      <c r="C10" s="91">
        <f>'Title Input and Macros'!B12</f>
        <v>42369</v>
      </c>
      <c r="D10" s="3" t="s">
        <v>401</v>
      </c>
      <c r="E10" s="91">
        <v>42551</v>
      </c>
    </row>
    <row r="11" spans="1:12">
      <c r="B11" s="2" t="s">
        <v>361</v>
      </c>
      <c r="C11" s="14" t="s">
        <v>362</v>
      </c>
      <c r="D11" s="2" t="s">
        <v>366</v>
      </c>
      <c r="E11" s="2" t="s">
        <v>363</v>
      </c>
    </row>
    <row r="12" spans="1:12">
      <c r="C12" s="14" t="s">
        <v>365</v>
      </c>
      <c r="D12" s="2" t="s">
        <v>365</v>
      </c>
      <c r="E12" s="2" t="s">
        <v>365</v>
      </c>
    </row>
    <row r="13" spans="1:12">
      <c r="A13">
        <v>1</v>
      </c>
      <c r="B13" t="s">
        <v>32</v>
      </c>
      <c r="C13" s="245">
        <f>'C'!J18</f>
        <v>205937088.25000003</v>
      </c>
      <c r="D13" s="245">
        <f>E13-C13</f>
        <v>221396.84000000358</v>
      </c>
      <c r="E13" s="246">
        <f>'C'!M18</f>
        <v>206158485.09000003</v>
      </c>
    </row>
    <row r="14" spans="1:12">
      <c r="A14">
        <f t="shared" ref="A14:A23" si="0">A13+1</f>
        <v>2</v>
      </c>
      <c r="B14" s="55" t="s">
        <v>31</v>
      </c>
      <c r="C14" s="246"/>
      <c r="D14" s="245"/>
      <c r="E14" s="246"/>
    </row>
    <row r="15" spans="1:12">
      <c r="A15">
        <f t="shared" si="0"/>
        <v>3</v>
      </c>
      <c r="B15" s="35" t="s">
        <v>35</v>
      </c>
      <c r="C15" s="246"/>
      <c r="D15" s="246"/>
      <c r="E15" s="246"/>
    </row>
    <row r="16" spans="1:12">
      <c r="A16">
        <f t="shared" si="0"/>
        <v>4</v>
      </c>
      <c r="B16" s="35" t="s">
        <v>34</v>
      </c>
      <c r="C16" s="246">
        <f>'C'!J17</f>
        <v>277880.80000000005</v>
      </c>
      <c r="D16" s="245">
        <f>E16-C16</f>
        <v>232791</v>
      </c>
      <c r="E16" s="246">
        <f>'C'!M17</f>
        <v>510671.80000000005</v>
      </c>
      <c r="H16" s="9"/>
      <c r="I16" s="9"/>
      <c r="J16" s="9"/>
      <c r="K16" s="9"/>
      <c r="L16" s="9"/>
    </row>
    <row r="17" spans="1:12">
      <c r="A17">
        <f t="shared" si="0"/>
        <v>5</v>
      </c>
      <c r="B17" s="35" t="s">
        <v>68</v>
      </c>
      <c r="C17" s="246"/>
      <c r="D17" s="246"/>
      <c r="E17" s="246"/>
      <c r="H17" s="9"/>
      <c r="I17" s="9"/>
      <c r="J17" s="9"/>
      <c r="K17" s="9"/>
      <c r="L17" s="9"/>
    </row>
    <row r="18" spans="1:12" ht="13.5" thickBot="1">
      <c r="A18">
        <f t="shared" si="0"/>
        <v>6</v>
      </c>
      <c r="B18" s="56" t="s">
        <v>33</v>
      </c>
      <c r="C18" s="247">
        <f>C13-C15-C16-C17</f>
        <v>205659207.45000002</v>
      </c>
      <c r="D18" s="247">
        <f>D13-D15-D16-D17</f>
        <v>-11394.159999996424</v>
      </c>
      <c r="E18" s="247">
        <f>E13-E15-E16-E17</f>
        <v>205647813.29000002</v>
      </c>
    </row>
    <row r="19" spans="1:12" ht="13.5" thickTop="1">
      <c r="A19">
        <f t="shared" si="0"/>
        <v>7</v>
      </c>
      <c r="B19" s="57" t="s">
        <v>297</v>
      </c>
      <c r="C19" s="246"/>
      <c r="D19" s="246"/>
      <c r="E19" s="246"/>
    </row>
    <row r="20" spans="1:12">
      <c r="A20">
        <f t="shared" si="0"/>
        <v>8</v>
      </c>
      <c r="B20" s="54" t="s">
        <v>299</v>
      </c>
      <c r="C20" s="246">
        <f>'H-2 P2'!E49</f>
        <v>456030.96</v>
      </c>
      <c r="D20" s="925">
        <f>E20-C20</f>
        <v>0</v>
      </c>
      <c r="E20" s="246">
        <f>'H-2 P2'!G49</f>
        <v>456030.96</v>
      </c>
    </row>
    <row r="21" spans="1:12">
      <c r="A21">
        <f t="shared" si="0"/>
        <v>9</v>
      </c>
      <c r="B21" s="54" t="s">
        <v>738</v>
      </c>
      <c r="C21" s="246">
        <f>'H-2 P2'!E50</f>
        <v>337493.71</v>
      </c>
      <c r="D21" s="925">
        <f>E21-C21</f>
        <v>0</v>
      </c>
      <c r="E21" s="246">
        <f>'H-2 P2'!G50</f>
        <v>337493.71</v>
      </c>
    </row>
    <row r="22" spans="1:12" ht="13.5" thickBot="1">
      <c r="A22">
        <f t="shared" si="0"/>
        <v>10</v>
      </c>
      <c r="B22" s="56" t="s">
        <v>298</v>
      </c>
      <c r="C22" s="247">
        <f>SUM(C20:C21)</f>
        <v>793524.67</v>
      </c>
      <c r="D22" s="71">
        <f>SUM(D20:D21)</f>
        <v>0</v>
      </c>
      <c r="E22" s="247">
        <f>SUM(E20:E21)</f>
        <v>793524.67</v>
      </c>
    </row>
    <row r="23" spans="1:12" ht="13.5" thickTop="1">
      <c r="A23">
        <f t="shared" si="0"/>
        <v>11</v>
      </c>
      <c r="B23" s="54" t="s">
        <v>442</v>
      </c>
      <c r="C23" s="246"/>
      <c r="D23" s="246"/>
      <c r="E23" s="246"/>
    </row>
    <row r="24" spans="1:12" ht="13.5" thickBot="1">
      <c r="B24" s="54" t="s">
        <v>300</v>
      </c>
      <c r="C24" s="247">
        <f>+C18-C22</f>
        <v>204865682.78000003</v>
      </c>
      <c r="D24" s="247">
        <f>D18-D22</f>
        <v>-11394.159999996424</v>
      </c>
      <c r="E24" s="247">
        <f>E18-E22</f>
        <v>204854288.62000003</v>
      </c>
    </row>
    <row r="25" spans="1:12" ht="13.5" thickTop="1">
      <c r="A25">
        <v>12</v>
      </c>
      <c r="B25" s="56" t="s">
        <v>301</v>
      </c>
      <c r="C25" s="246"/>
      <c r="D25" s="246"/>
      <c r="E25" s="246"/>
    </row>
    <row r="26" spans="1:12" ht="13.5" thickBot="1">
      <c r="B26" s="56" t="s">
        <v>302</v>
      </c>
      <c r="C26" s="247">
        <f>'H-2 P2'!J53</f>
        <v>3712023.2500000005</v>
      </c>
      <c r="D26" s="247">
        <f>E26-C26</f>
        <v>2015638.221413</v>
      </c>
      <c r="E26" s="247">
        <f>'H-2 P2'!L53</f>
        <v>5727661.4714130005</v>
      </c>
    </row>
    <row r="27" spans="1:12" ht="13.5" thickTop="1">
      <c r="C27" s="35"/>
      <c r="D27" s="35"/>
      <c r="E27" s="35"/>
    </row>
    <row r="28" spans="1:12">
      <c r="C28" s="35"/>
      <c r="D28" s="35"/>
      <c r="E28" s="35"/>
    </row>
    <row r="29" spans="1:12">
      <c r="C29" s="35"/>
      <c r="D29" s="35"/>
      <c r="E29" s="35"/>
    </row>
    <row r="30" spans="1:12">
      <c r="C30" s="35"/>
      <c r="D30" s="35"/>
      <c r="E30" s="35"/>
    </row>
    <row r="31" spans="1:12">
      <c r="C31" s="35"/>
      <c r="D31" s="35"/>
      <c r="E31" s="35"/>
    </row>
    <row r="32" spans="1:12">
      <c r="C32" s="35"/>
      <c r="D32" s="35"/>
      <c r="E32" s="35"/>
    </row>
    <row r="33" spans="3:5">
      <c r="C33" s="35"/>
      <c r="D33" s="35"/>
      <c r="E33" s="35"/>
    </row>
    <row r="34" spans="3:5">
      <c r="C34" s="35"/>
      <c r="D34" s="35"/>
      <c r="E34" s="35"/>
    </row>
    <row r="35" spans="3:5">
      <c r="C35" s="35"/>
      <c r="D35" s="35"/>
      <c r="E35" s="35"/>
    </row>
    <row r="36" spans="3:5">
      <c r="C36" s="35"/>
      <c r="D36" s="35"/>
      <c r="E36" s="35"/>
    </row>
    <row r="37" spans="3:5">
      <c r="C37" s="35"/>
      <c r="D37" s="35"/>
      <c r="E37" s="35"/>
    </row>
    <row r="38" spans="3:5">
      <c r="C38" s="35"/>
      <c r="D38" s="35"/>
      <c r="E38" s="35"/>
    </row>
    <row r="39" spans="3:5">
      <c r="C39" s="35"/>
      <c r="D39" s="35"/>
      <c r="E39" s="35"/>
    </row>
    <row r="40" spans="3:5">
      <c r="C40" s="35"/>
      <c r="D40" s="35"/>
      <c r="E40" s="35"/>
    </row>
    <row r="41" spans="3:5">
      <c r="C41" s="35"/>
      <c r="D41" s="35"/>
      <c r="E41" s="35"/>
    </row>
    <row r="42" spans="3:5">
      <c r="C42" s="35"/>
      <c r="D42" s="35"/>
      <c r="E42" s="35"/>
    </row>
    <row r="43" spans="3:5">
      <c r="C43" s="35"/>
      <c r="D43" s="35"/>
      <c r="E43" s="35"/>
    </row>
    <row r="44" spans="3:5">
      <c r="C44" s="35"/>
      <c r="D44" s="35"/>
      <c r="E44" s="35"/>
    </row>
    <row r="45" spans="3:5">
      <c r="C45" s="35"/>
      <c r="D45" s="35"/>
      <c r="E45" s="35"/>
    </row>
    <row r="46" spans="3:5">
      <c r="C46" s="35"/>
      <c r="D46" s="35"/>
      <c r="E46" s="35"/>
    </row>
    <row r="47" spans="3:5">
      <c r="C47" s="35"/>
      <c r="D47" s="35"/>
      <c r="E47" s="35"/>
    </row>
    <row r="48" spans="3:5">
      <c r="C48" s="35"/>
      <c r="D48" s="35"/>
      <c r="E48" s="35"/>
    </row>
    <row r="49" spans="3:5">
      <c r="C49" s="35"/>
      <c r="D49" s="35"/>
      <c r="E49" s="35"/>
    </row>
    <row r="50" spans="3:5">
      <c r="C50" s="35"/>
      <c r="D50" s="35"/>
      <c r="E50" s="35"/>
    </row>
    <row r="51" spans="3:5">
      <c r="C51" s="35"/>
      <c r="D51" s="35"/>
      <c r="E51" s="35"/>
    </row>
    <row r="52" spans="3:5">
      <c r="C52" s="35"/>
      <c r="D52" s="35"/>
      <c r="E52" s="35"/>
    </row>
    <row r="53" spans="3:5">
      <c r="C53" s="35"/>
      <c r="D53" s="35"/>
      <c r="E53" s="35"/>
    </row>
    <row r="54" spans="3:5">
      <c r="C54" s="35"/>
      <c r="D54" s="35"/>
      <c r="E54" s="35"/>
    </row>
    <row r="55" spans="3:5">
      <c r="C55" s="35"/>
      <c r="D55" s="35"/>
      <c r="E55" s="35"/>
    </row>
    <row r="56" spans="3:5">
      <c r="C56" s="35"/>
      <c r="D56" s="35"/>
      <c r="E56" s="35"/>
    </row>
    <row r="57" spans="3:5">
      <c r="C57" s="35"/>
      <c r="D57" s="35"/>
      <c r="E57" s="35"/>
    </row>
    <row r="58" spans="3:5">
      <c r="C58" s="35"/>
      <c r="D58" s="35"/>
      <c r="E58" s="35"/>
    </row>
    <row r="59" spans="3:5">
      <c r="C59" s="35"/>
      <c r="D59" s="35"/>
      <c r="E59" s="35"/>
    </row>
    <row r="60" spans="3:5">
      <c r="C60" s="35"/>
      <c r="D60" s="35"/>
      <c r="E60" s="35"/>
    </row>
    <row r="61" spans="3:5">
      <c r="C61" s="35"/>
      <c r="D61" s="35"/>
      <c r="E61" s="35"/>
    </row>
    <row r="62" spans="3:5">
      <c r="C62" s="35"/>
      <c r="D62" s="35"/>
      <c r="E62" s="35"/>
    </row>
    <row r="63" spans="3:5">
      <c r="C63" s="35"/>
      <c r="D63" s="35"/>
      <c r="E63" s="35"/>
    </row>
    <row r="64" spans="3:5">
      <c r="C64" s="35"/>
      <c r="D64" s="35"/>
      <c r="E64" s="35"/>
    </row>
    <row r="65" spans="3:5">
      <c r="C65" s="35"/>
      <c r="D65" s="35"/>
      <c r="E65" s="35"/>
    </row>
    <row r="66" spans="3:5">
      <c r="C66" s="35"/>
      <c r="D66" s="35"/>
      <c r="E66" s="35"/>
    </row>
    <row r="67" spans="3:5">
      <c r="C67" s="35"/>
      <c r="D67" s="35"/>
      <c r="E67" s="35"/>
    </row>
    <row r="68" spans="3:5">
      <c r="C68" s="35"/>
      <c r="D68" s="35"/>
      <c r="E68" s="35"/>
    </row>
    <row r="69" spans="3:5">
      <c r="C69" s="35"/>
      <c r="D69" s="35"/>
      <c r="E69" s="35"/>
    </row>
    <row r="70" spans="3:5">
      <c r="C70" s="35"/>
      <c r="D70" s="35"/>
      <c r="E70" s="35"/>
    </row>
    <row r="71" spans="3:5">
      <c r="C71" s="35"/>
      <c r="D71" s="35"/>
      <c r="E71" s="35"/>
    </row>
    <row r="72" spans="3:5">
      <c r="C72" s="35"/>
      <c r="D72" s="35"/>
      <c r="E72" s="35"/>
    </row>
    <row r="73" spans="3:5">
      <c r="C73" s="35"/>
      <c r="D73" s="35"/>
      <c r="E73" s="35"/>
    </row>
    <row r="74" spans="3:5">
      <c r="C74" s="35"/>
      <c r="D74" s="35"/>
      <c r="E74" s="35"/>
    </row>
    <row r="75" spans="3:5">
      <c r="C75" s="35"/>
      <c r="D75" s="35"/>
      <c r="E75" s="35"/>
    </row>
    <row r="76" spans="3:5">
      <c r="C76" s="35"/>
      <c r="D76" s="35"/>
      <c r="E76" s="35"/>
    </row>
    <row r="77" spans="3:5">
      <c r="C77" s="35"/>
      <c r="D77" s="35"/>
      <c r="E77" s="35"/>
    </row>
    <row r="78" spans="3:5">
      <c r="C78" s="35"/>
      <c r="D78" s="35"/>
      <c r="E78" s="35"/>
    </row>
    <row r="79" spans="3:5">
      <c r="C79" s="35"/>
      <c r="D79" s="35"/>
      <c r="E79" s="35"/>
    </row>
    <row r="80" spans="3:5">
      <c r="C80" s="35"/>
      <c r="D80" s="35"/>
      <c r="E80" s="35"/>
    </row>
    <row r="81" spans="3:5">
      <c r="C81" s="35"/>
      <c r="D81" s="35"/>
      <c r="E81" s="35"/>
    </row>
    <row r="82" spans="3:5">
      <c r="C82" s="35"/>
      <c r="D82" s="35"/>
      <c r="E82" s="35"/>
    </row>
    <row r="83" spans="3:5">
      <c r="C83" s="35"/>
      <c r="D83" s="35"/>
      <c r="E83" s="35"/>
    </row>
    <row r="84" spans="3:5">
      <c r="C84" s="35"/>
      <c r="D84" s="35"/>
      <c r="E84" s="35"/>
    </row>
    <row r="85" spans="3:5">
      <c r="C85" s="35"/>
      <c r="D85" s="35"/>
      <c r="E85" s="35"/>
    </row>
    <row r="86" spans="3:5">
      <c r="C86" s="35"/>
      <c r="D86" s="35"/>
      <c r="E86" s="35"/>
    </row>
    <row r="87" spans="3:5">
      <c r="C87" s="35"/>
      <c r="D87" s="35"/>
      <c r="E87" s="35"/>
    </row>
    <row r="88" spans="3:5">
      <c r="C88" s="35"/>
      <c r="D88" s="35"/>
      <c r="E88" s="35"/>
    </row>
    <row r="89" spans="3:5">
      <c r="C89" s="35"/>
      <c r="D89" s="35"/>
      <c r="E89" s="35"/>
    </row>
    <row r="90" spans="3:5">
      <c r="C90" s="35"/>
      <c r="D90" s="35"/>
      <c r="E90" s="35"/>
    </row>
    <row r="91" spans="3:5">
      <c r="C91" s="35"/>
      <c r="D91" s="35"/>
      <c r="E91" s="35"/>
    </row>
    <row r="92" spans="3:5">
      <c r="C92" s="35"/>
      <c r="D92" s="35"/>
      <c r="E92" s="35"/>
    </row>
    <row r="93" spans="3:5">
      <c r="C93" s="35"/>
      <c r="D93" s="35"/>
      <c r="E93" s="35"/>
    </row>
    <row r="94" spans="3:5">
      <c r="C94" s="35"/>
      <c r="D94" s="35"/>
      <c r="E94" s="35"/>
    </row>
    <row r="95" spans="3:5">
      <c r="C95" s="35"/>
      <c r="D95" s="35"/>
      <c r="E95" s="35"/>
    </row>
    <row r="96" spans="3:5">
      <c r="C96" s="35"/>
      <c r="D96" s="35"/>
      <c r="E96" s="35"/>
    </row>
    <row r="97" spans="3:5">
      <c r="C97" s="35"/>
      <c r="D97" s="35"/>
      <c r="E97" s="35"/>
    </row>
    <row r="98" spans="3:5">
      <c r="C98" s="35"/>
      <c r="D98" s="35"/>
      <c r="E98" s="35"/>
    </row>
    <row r="99" spans="3:5">
      <c r="C99" s="35"/>
      <c r="D99" s="35"/>
      <c r="E99" s="35"/>
    </row>
    <row r="100" spans="3:5">
      <c r="C100" s="35"/>
      <c r="D100" s="35"/>
      <c r="E100" s="35"/>
    </row>
    <row r="101" spans="3:5">
      <c r="C101" s="35"/>
      <c r="D101" s="35"/>
      <c r="E101" s="35"/>
    </row>
    <row r="102" spans="3:5">
      <c r="C102" s="35"/>
      <c r="D102" s="35"/>
      <c r="E102" s="35"/>
    </row>
    <row r="103" spans="3:5">
      <c r="C103" s="35"/>
      <c r="D103" s="35"/>
      <c r="E103" s="35"/>
    </row>
    <row r="104" spans="3:5">
      <c r="C104" s="35"/>
      <c r="D104" s="35"/>
      <c r="E104" s="35"/>
    </row>
    <row r="105" spans="3:5">
      <c r="C105" s="35"/>
      <c r="D105" s="35"/>
      <c r="E105" s="35"/>
    </row>
    <row r="106" spans="3:5">
      <c r="C106" s="35"/>
      <c r="D106" s="35"/>
      <c r="E106" s="35"/>
    </row>
    <row r="107" spans="3:5">
      <c r="C107" s="35"/>
      <c r="D107" s="35"/>
      <c r="E107" s="35"/>
    </row>
    <row r="108" spans="3:5">
      <c r="C108" s="35"/>
      <c r="D108" s="35"/>
      <c r="E108" s="35"/>
    </row>
    <row r="109" spans="3:5">
      <c r="C109" s="35"/>
      <c r="D109" s="35"/>
      <c r="E109" s="35"/>
    </row>
    <row r="110" spans="3:5">
      <c r="C110" s="35"/>
      <c r="D110" s="35"/>
      <c r="E110" s="35"/>
    </row>
    <row r="111" spans="3:5">
      <c r="C111" s="35"/>
      <c r="D111" s="35"/>
      <c r="E111" s="35"/>
    </row>
    <row r="112" spans="3:5">
      <c r="C112" s="35"/>
      <c r="D112" s="35"/>
      <c r="E112" s="35"/>
    </row>
    <row r="113" spans="3:5">
      <c r="C113" s="35"/>
      <c r="D113" s="35"/>
      <c r="E113" s="35"/>
    </row>
    <row r="114" spans="3:5">
      <c r="C114" s="35"/>
      <c r="D114" s="35"/>
      <c r="E114" s="35"/>
    </row>
    <row r="115" spans="3:5">
      <c r="C115" s="35"/>
      <c r="D115" s="35"/>
      <c r="E115" s="35"/>
    </row>
    <row r="116" spans="3:5">
      <c r="C116" s="35"/>
      <c r="D116" s="35"/>
      <c r="E116" s="35"/>
    </row>
    <row r="117" spans="3:5">
      <c r="C117" s="35"/>
      <c r="D117" s="35"/>
      <c r="E117" s="35"/>
    </row>
    <row r="118" spans="3:5">
      <c r="C118" s="35"/>
      <c r="D118" s="35"/>
      <c r="E118" s="35"/>
    </row>
    <row r="119" spans="3:5">
      <c r="C119" s="35"/>
      <c r="D119" s="35"/>
      <c r="E119" s="35"/>
    </row>
    <row r="120" spans="3:5">
      <c r="C120" s="35"/>
      <c r="D120" s="35"/>
      <c r="E120" s="35"/>
    </row>
    <row r="121" spans="3:5">
      <c r="C121" s="35"/>
      <c r="D121" s="35"/>
      <c r="E121" s="35"/>
    </row>
    <row r="122" spans="3:5">
      <c r="C122" s="35"/>
      <c r="D122" s="35"/>
      <c r="E122" s="35"/>
    </row>
    <row r="123" spans="3:5">
      <c r="C123" s="35"/>
      <c r="D123" s="35"/>
      <c r="E123" s="35"/>
    </row>
    <row r="124" spans="3:5">
      <c r="C124" s="35"/>
      <c r="D124" s="35"/>
      <c r="E124" s="35"/>
    </row>
    <row r="125" spans="3:5">
      <c r="C125" s="35"/>
      <c r="D125" s="35"/>
      <c r="E125" s="35"/>
    </row>
    <row r="126" spans="3:5">
      <c r="C126" s="35"/>
      <c r="D126" s="35"/>
      <c r="E126" s="35"/>
    </row>
    <row r="127" spans="3:5">
      <c r="C127" s="35"/>
      <c r="D127" s="35"/>
      <c r="E127" s="35"/>
    </row>
    <row r="128" spans="3:5">
      <c r="C128" s="35"/>
      <c r="D128" s="35"/>
      <c r="E128" s="35"/>
    </row>
    <row r="129" spans="3:5">
      <c r="C129" s="35"/>
      <c r="D129" s="35"/>
      <c r="E129" s="35"/>
    </row>
    <row r="130" spans="3:5">
      <c r="C130" s="35"/>
      <c r="D130" s="35"/>
      <c r="E130" s="35"/>
    </row>
    <row r="131" spans="3:5">
      <c r="C131" s="35"/>
      <c r="D131" s="35"/>
      <c r="E131" s="35"/>
    </row>
    <row r="132" spans="3:5">
      <c r="C132" s="35"/>
      <c r="D132" s="35"/>
      <c r="E132" s="35"/>
    </row>
    <row r="133" spans="3:5">
      <c r="C133" s="35"/>
      <c r="D133" s="35"/>
      <c r="E133" s="35"/>
    </row>
    <row r="134" spans="3:5">
      <c r="C134" s="35"/>
      <c r="D134" s="35"/>
      <c r="E134" s="35"/>
    </row>
    <row r="135" spans="3:5">
      <c r="C135" s="35"/>
      <c r="D135" s="35"/>
      <c r="E135" s="35"/>
    </row>
    <row r="136" spans="3:5">
      <c r="C136" s="35"/>
      <c r="D136" s="35"/>
      <c r="E136" s="35"/>
    </row>
    <row r="137" spans="3:5">
      <c r="C137" s="35"/>
      <c r="D137" s="35"/>
      <c r="E137" s="35"/>
    </row>
    <row r="138" spans="3:5">
      <c r="C138" s="35"/>
      <c r="D138" s="35"/>
      <c r="E138" s="35"/>
    </row>
    <row r="139" spans="3:5">
      <c r="C139" s="35"/>
      <c r="D139" s="35"/>
      <c r="E139" s="35"/>
    </row>
    <row r="140" spans="3:5">
      <c r="C140" s="35"/>
      <c r="D140" s="35"/>
      <c r="E140" s="35"/>
    </row>
    <row r="141" spans="3:5">
      <c r="C141" s="35"/>
      <c r="D141" s="35"/>
      <c r="E141" s="35"/>
    </row>
    <row r="142" spans="3:5">
      <c r="C142" s="35"/>
      <c r="D142" s="35"/>
      <c r="E142" s="35"/>
    </row>
    <row r="143" spans="3:5">
      <c r="C143" s="35"/>
      <c r="D143" s="35"/>
      <c r="E143" s="35"/>
    </row>
    <row r="144" spans="3:5">
      <c r="C144" s="35"/>
      <c r="D144" s="35"/>
      <c r="E144" s="35"/>
    </row>
    <row r="145" spans="3:5">
      <c r="C145" s="35"/>
      <c r="D145" s="35"/>
      <c r="E145" s="35"/>
    </row>
    <row r="146" spans="3:5">
      <c r="C146" s="35"/>
      <c r="D146" s="35"/>
      <c r="E146" s="35"/>
    </row>
    <row r="147" spans="3:5">
      <c r="C147" s="35"/>
      <c r="D147" s="35"/>
      <c r="E147" s="35"/>
    </row>
    <row r="148" spans="3:5">
      <c r="C148" s="35"/>
      <c r="D148" s="35"/>
      <c r="E148" s="35"/>
    </row>
    <row r="149" spans="3:5">
      <c r="C149" s="35"/>
      <c r="D149" s="35"/>
      <c r="E149" s="35"/>
    </row>
    <row r="150" spans="3:5">
      <c r="C150" s="35"/>
      <c r="D150" s="35"/>
      <c r="E150" s="35"/>
    </row>
    <row r="151" spans="3:5">
      <c r="C151" s="35"/>
      <c r="D151" s="35"/>
      <c r="E151" s="35"/>
    </row>
    <row r="152" spans="3:5">
      <c r="C152" s="35"/>
      <c r="D152" s="35"/>
      <c r="E152" s="35"/>
    </row>
    <row r="153" spans="3:5">
      <c r="C153" s="35"/>
      <c r="D153" s="35"/>
      <c r="E153" s="35"/>
    </row>
    <row r="154" spans="3:5">
      <c r="C154" s="35"/>
      <c r="D154" s="35"/>
      <c r="E154" s="35"/>
    </row>
    <row r="155" spans="3:5">
      <c r="C155" s="35"/>
      <c r="D155" s="35"/>
      <c r="E155" s="35"/>
    </row>
    <row r="156" spans="3:5">
      <c r="C156" s="35"/>
      <c r="D156" s="35"/>
      <c r="E156" s="35"/>
    </row>
    <row r="157" spans="3:5">
      <c r="C157" s="35"/>
      <c r="D157" s="35"/>
      <c r="E157" s="35"/>
    </row>
    <row r="158" spans="3:5">
      <c r="C158" s="35"/>
      <c r="D158" s="35"/>
      <c r="E158" s="35"/>
    </row>
    <row r="159" spans="3:5">
      <c r="C159" s="35"/>
      <c r="D159" s="35"/>
      <c r="E159" s="35"/>
    </row>
    <row r="160" spans="3:5">
      <c r="C160" s="35"/>
      <c r="D160" s="35"/>
      <c r="E160" s="35"/>
    </row>
    <row r="161" spans="3:5">
      <c r="C161" s="35"/>
      <c r="D161" s="35"/>
      <c r="E161" s="35"/>
    </row>
    <row r="162" spans="3:5">
      <c r="C162" s="35"/>
      <c r="D162" s="35"/>
      <c r="E162" s="35"/>
    </row>
    <row r="163" spans="3:5">
      <c r="C163" s="35"/>
      <c r="D163" s="35"/>
      <c r="E163" s="35"/>
    </row>
    <row r="164" spans="3:5">
      <c r="C164" s="35"/>
      <c r="D164" s="35"/>
      <c r="E164" s="35"/>
    </row>
    <row r="165" spans="3:5">
      <c r="C165" s="35"/>
      <c r="D165" s="35"/>
      <c r="E165" s="35"/>
    </row>
    <row r="166" spans="3:5">
      <c r="C166" s="35"/>
      <c r="D166" s="35"/>
      <c r="E166" s="35"/>
    </row>
    <row r="167" spans="3:5">
      <c r="C167" s="35"/>
      <c r="D167" s="35"/>
      <c r="E167" s="35"/>
    </row>
    <row r="168" spans="3:5">
      <c r="C168" s="35"/>
      <c r="D168" s="35"/>
      <c r="E168" s="35"/>
    </row>
    <row r="169" spans="3:5">
      <c r="C169" s="35"/>
      <c r="D169" s="35"/>
      <c r="E169" s="35"/>
    </row>
    <row r="170" spans="3:5">
      <c r="C170" s="35"/>
      <c r="D170" s="35"/>
      <c r="E170" s="35"/>
    </row>
    <row r="171" spans="3:5">
      <c r="C171" s="35"/>
      <c r="D171" s="35"/>
      <c r="E171" s="35"/>
    </row>
    <row r="172" spans="3:5">
      <c r="C172" s="35"/>
      <c r="D172" s="35"/>
      <c r="E172" s="35"/>
    </row>
    <row r="173" spans="3:5">
      <c r="C173" s="35"/>
      <c r="D173" s="35"/>
      <c r="E173" s="35"/>
    </row>
    <row r="174" spans="3:5">
      <c r="C174" s="35"/>
      <c r="D174" s="35"/>
      <c r="E174" s="35"/>
    </row>
    <row r="175" spans="3:5">
      <c r="C175" s="35"/>
      <c r="D175" s="35"/>
      <c r="E175" s="35"/>
    </row>
    <row r="176" spans="3:5">
      <c r="C176" s="35"/>
      <c r="D176" s="35"/>
      <c r="E176" s="35"/>
    </row>
    <row r="177" spans="3:5">
      <c r="C177" s="35"/>
      <c r="D177" s="35"/>
      <c r="E177" s="35"/>
    </row>
    <row r="178" spans="3:5">
      <c r="C178" s="35"/>
      <c r="D178" s="35"/>
      <c r="E178" s="35"/>
    </row>
    <row r="179" spans="3:5">
      <c r="C179" s="35"/>
      <c r="D179" s="35"/>
      <c r="E179" s="35"/>
    </row>
    <row r="180" spans="3:5">
      <c r="C180" s="35"/>
      <c r="D180" s="35"/>
      <c r="E180" s="35"/>
    </row>
    <row r="181" spans="3:5">
      <c r="C181" s="35"/>
      <c r="D181" s="35"/>
      <c r="E181" s="35"/>
    </row>
    <row r="182" spans="3:5">
      <c r="C182" s="35"/>
      <c r="D182" s="35"/>
      <c r="E182" s="35"/>
    </row>
    <row r="183" spans="3:5">
      <c r="C183" s="35"/>
      <c r="D183" s="35"/>
      <c r="E183" s="35"/>
    </row>
    <row r="184" spans="3:5">
      <c r="C184" s="35"/>
      <c r="D184" s="35"/>
      <c r="E184" s="35"/>
    </row>
    <row r="185" spans="3:5">
      <c r="C185" s="23"/>
      <c r="D185" s="5"/>
      <c r="E185" s="5"/>
    </row>
    <row r="186" spans="3:5">
      <c r="C186" s="23"/>
      <c r="D186" s="5"/>
      <c r="E186" s="5"/>
    </row>
    <row r="187" spans="3:5">
      <c r="C187" s="23"/>
      <c r="D187" s="5"/>
      <c r="E187" s="5"/>
    </row>
    <row r="188" spans="3:5">
      <c r="C188" s="23"/>
      <c r="D188" s="5"/>
      <c r="E188" s="5"/>
    </row>
    <row r="189" spans="3:5">
      <c r="C189" s="23"/>
      <c r="D189" s="5"/>
      <c r="E189" s="5"/>
    </row>
    <row r="190" spans="3:5">
      <c r="C190" s="23"/>
      <c r="D190" s="5"/>
      <c r="E190" s="5"/>
    </row>
    <row r="191" spans="3:5">
      <c r="C191" s="23"/>
      <c r="D191" s="5"/>
      <c r="E191" s="5"/>
    </row>
    <row r="192" spans="3:5">
      <c r="C192" s="23"/>
      <c r="D192" s="5"/>
      <c r="E192" s="5"/>
    </row>
    <row r="193" spans="3:5">
      <c r="C193" s="23"/>
      <c r="D193" s="5"/>
      <c r="E193" s="5"/>
    </row>
    <row r="194" spans="3:5">
      <c r="C194" s="23"/>
      <c r="D194" s="5"/>
      <c r="E194" s="5"/>
    </row>
    <row r="195" spans="3:5">
      <c r="C195" s="23"/>
      <c r="D195" s="5"/>
      <c r="E195" s="5"/>
    </row>
    <row r="196" spans="3:5">
      <c r="C196" s="23"/>
      <c r="D196" s="5"/>
      <c r="E196" s="5"/>
    </row>
    <row r="197" spans="3:5">
      <c r="C197" s="23"/>
      <c r="D197" s="5"/>
      <c r="E197" s="5"/>
    </row>
    <row r="198" spans="3:5">
      <c r="C198" s="23"/>
      <c r="D198" s="5"/>
      <c r="E198" s="5"/>
    </row>
    <row r="199" spans="3:5">
      <c r="C199" s="23"/>
      <c r="D199" s="5"/>
      <c r="E199" s="5"/>
    </row>
    <row r="200" spans="3:5">
      <c r="C200" s="23"/>
      <c r="D200" s="5"/>
      <c r="E200" s="5"/>
    </row>
    <row r="201" spans="3:5">
      <c r="C201" s="23"/>
      <c r="D201" s="5"/>
      <c r="E201" s="5"/>
    </row>
    <row r="202" spans="3:5">
      <c r="C202" s="23"/>
      <c r="D202" s="5"/>
      <c r="E202" s="5"/>
    </row>
    <row r="203" spans="3:5">
      <c r="C203" s="23"/>
      <c r="D203" s="5"/>
      <c r="E203" s="5"/>
    </row>
    <row r="204" spans="3:5">
      <c r="C204" s="23"/>
      <c r="D204" s="5"/>
      <c r="E204" s="5"/>
    </row>
    <row r="205" spans="3:5">
      <c r="C205" s="23"/>
      <c r="D205" s="5"/>
      <c r="E205" s="5"/>
    </row>
    <row r="206" spans="3:5">
      <c r="D206" s="5"/>
      <c r="E206" s="5"/>
    </row>
    <row r="207" spans="3:5">
      <c r="D207" s="5"/>
      <c r="E207" s="5"/>
    </row>
    <row r="208" spans="3:5">
      <c r="D208" s="5"/>
      <c r="E208" s="5"/>
    </row>
    <row r="209" spans="4:5">
      <c r="D209" s="5"/>
      <c r="E209" s="5"/>
    </row>
    <row r="210" spans="4:5">
      <c r="D210" s="5"/>
      <c r="E210" s="5"/>
    </row>
    <row r="211" spans="4:5">
      <c r="D211" s="5"/>
      <c r="E211" s="5"/>
    </row>
    <row r="212" spans="4:5">
      <c r="D212" s="5"/>
      <c r="E212" s="5"/>
    </row>
    <row r="213" spans="4:5">
      <c r="D213" s="5"/>
      <c r="E213" s="5"/>
    </row>
    <row r="214" spans="4:5">
      <c r="D214" s="5"/>
      <c r="E214" s="5"/>
    </row>
    <row r="215" spans="4:5">
      <c r="D215" s="5"/>
      <c r="E215" s="5"/>
    </row>
    <row r="216" spans="4:5">
      <c r="D216" s="5"/>
      <c r="E216" s="5"/>
    </row>
    <row r="217" spans="4:5">
      <c r="D217" s="5"/>
      <c r="E217" s="5"/>
    </row>
    <row r="218" spans="4:5">
      <c r="D218" s="5"/>
      <c r="E218" s="5"/>
    </row>
    <row r="219" spans="4:5">
      <c r="D219" s="5"/>
      <c r="E219" s="5"/>
    </row>
    <row r="220" spans="4:5">
      <c r="D220" s="5"/>
      <c r="E220" s="5"/>
    </row>
    <row r="221" spans="4:5">
      <c r="D221" s="5"/>
      <c r="E221" s="5"/>
    </row>
    <row r="222" spans="4:5">
      <c r="D222" s="5"/>
      <c r="E222" s="5"/>
    </row>
    <row r="223" spans="4:5">
      <c r="D223" s="5"/>
      <c r="E223" s="5"/>
    </row>
    <row r="224" spans="4:5">
      <c r="D224" s="5"/>
      <c r="E224" s="5"/>
    </row>
    <row r="225" spans="4:5">
      <c r="D225" s="5"/>
      <c r="E225" s="5"/>
    </row>
    <row r="226" spans="4:5">
      <c r="D226" s="5"/>
      <c r="E226" s="5"/>
    </row>
    <row r="227" spans="4:5">
      <c r="D227" s="5"/>
      <c r="E227" s="5"/>
    </row>
    <row r="228" spans="4:5">
      <c r="D228" s="5"/>
      <c r="E228" s="5"/>
    </row>
    <row r="229" spans="4:5">
      <c r="D229" s="5"/>
      <c r="E229" s="5"/>
    </row>
    <row r="230" spans="4:5">
      <c r="D230" s="5"/>
      <c r="E230" s="5"/>
    </row>
    <row r="231" spans="4:5">
      <c r="D231" s="5"/>
      <c r="E231" s="5"/>
    </row>
    <row r="232" spans="4:5">
      <c r="D232" s="5"/>
      <c r="E232" s="5"/>
    </row>
    <row r="233" spans="4:5">
      <c r="D233" s="5"/>
      <c r="E233" s="5"/>
    </row>
    <row r="234" spans="4:5">
      <c r="D234" s="5"/>
      <c r="E234" s="5"/>
    </row>
    <row r="235" spans="4:5">
      <c r="D235" s="5"/>
      <c r="E235" s="5"/>
    </row>
    <row r="236" spans="4:5">
      <c r="D236" s="5"/>
      <c r="E236" s="5"/>
    </row>
    <row r="237" spans="4:5">
      <c r="D237" s="5"/>
      <c r="E237" s="5"/>
    </row>
    <row r="238" spans="4:5">
      <c r="D238" s="5"/>
      <c r="E238" s="5"/>
    </row>
    <row r="239" spans="4:5">
      <c r="D239" s="5"/>
      <c r="E239" s="5"/>
    </row>
    <row r="240" spans="4:5">
      <c r="D240" s="5"/>
      <c r="E240" s="5"/>
    </row>
    <row r="241" spans="4:5">
      <c r="D241" s="5"/>
      <c r="E241" s="5"/>
    </row>
    <row r="242" spans="4:5">
      <c r="D242" s="5"/>
      <c r="E242" s="5"/>
    </row>
    <row r="243" spans="4:5">
      <c r="D243" s="5"/>
      <c r="E243" s="5"/>
    </row>
    <row r="244" spans="4:5">
      <c r="D244" s="5"/>
      <c r="E244" s="5"/>
    </row>
    <row r="245" spans="4:5">
      <c r="D245" s="5"/>
      <c r="E245" s="5"/>
    </row>
    <row r="246" spans="4:5">
      <c r="D246" s="5"/>
      <c r="E246" s="5"/>
    </row>
    <row r="247" spans="4:5">
      <c r="D247" s="5"/>
      <c r="E247" s="5"/>
    </row>
    <row r="248" spans="4:5">
      <c r="D248" s="5"/>
      <c r="E248" s="5"/>
    </row>
    <row r="249" spans="4:5">
      <c r="D249" s="5"/>
      <c r="E249" s="5"/>
    </row>
    <row r="250" spans="4:5">
      <c r="D250" s="5"/>
      <c r="E250" s="5"/>
    </row>
    <row r="251" spans="4:5">
      <c r="D251" s="5"/>
      <c r="E251" s="5"/>
    </row>
    <row r="252" spans="4:5">
      <c r="D252" s="5"/>
      <c r="E252" s="5"/>
    </row>
    <row r="253" spans="4:5">
      <c r="D253" s="5"/>
      <c r="E253" s="5"/>
    </row>
    <row r="254" spans="4:5">
      <c r="D254" s="5"/>
      <c r="E254" s="5"/>
    </row>
    <row r="255" spans="4:5">
      <c r="D255" s="5"/>
      <c r="E255" s="5"/>
    </row>
    <row r="256" spans="4:5">
      <c r="D256" s="5"/>
      <c r="E256" s="5"/>
    </row>
    <row r="257" spans="4:5">
      <c r="D257" s="5"/>
      <c r="E257" s="5"/>
    </row>
    <row r="258" spans="4:5">
      <c r="D258" s="5"/>
      <c r="E258" s="5"/>
    </row>
    <row r="259" spans="4:5">
      <c r="D259" s="5"/>
      <c r="E259" s="5"/>
    </row>
    <row r="260" spans="4:5">
      <c r="D260" s="5"/>
      <c r="E260" s="5"/>
    </row>
    <row r="261" spans="4:5">
      <c r="D261" s="5"/>
      <c r="E261" s="5"/>
    </row>
    <row r="262" spans="4:5">
      <c r="D262" s="5"/>
      <c r="E262" s="5"/>
    </row>
    <row r="263" spans="4:5">
      <c r="D263" s="5"/>
      <c r="E263" s="5"/>
    </row>
    <row r="264" spans="4:5">
      <c r="D264" s="5"/>
      <c r="E264" s="5"/>
    </row>
    <row r="265" spans="4:5">
      <c r="D265" s="5"/>
      <c r="E265" s="5"/>
    </row>
    <row r="266" spans="4:5">
      <c r="D266" s="5"/>
      <c r="E266" s="5"/>
    </row>
    <row r="267" spans="4:5">
      <c r="D267" s="5"/>
      <c r="E267" s="5"/>
    </row>
    <row r="268" spans="4:5">
      <c r="D268" s="5"/>
      <c r="E268" s="5"/>
    </row>
    <row r="269" spans="4:5">
      <c r="D269" s="5"/>
      <c r="E269" s="5"/>
    </row>
    <row r="270" spans="4:5">
      <c r="D270" s="5"/>
      <c r="E270" s="5"/>
    </row>
    <row r="271" spans="4:5">
      <c r="D271" s="5"/>
      <c r="E271" s="5"/>
    </row>
    <row r="272" spans="4:5">
      <c r="D272" s="5"/>
      <c r="E272" s="5"/>
    </row>
    <row r="273" spans="4:5">
      <c r="D273" s="5"/>
      <c r="E273" s="5"/>
    </row>
    <row r="274" spans="4:5">
      <c r="D274" s="5"/>
      <c r="E274" s="5"/>
    </row>
    <row r="275" spans="4:5">
      <c r="D275" s="5"/>
      <c r="E275" s="5"/>
    </row>
    <row r="276" spans="4:5">
      <c r="D276" s="5"/>
      <c r="E276" s="5"/>
    </row>
    <row r="277" spans="4:5">
      <c r="D277" s="5"/>
      <c r="E277" s="5"/>
    </row>
    <row r="278" spans="4:5">
      <c r="D278" s="5"/>
      <c r="E278" s="5"/>
    </row>
    <row r="279" spans="4:5">
      <c r="D279" s="5"/>
      <c r="E279" s="5"/>
    </row>
    <row r="280" spans="4:5">
      <c r="D280" s="5"/>
      <c r="E280" s="5"/>
    </row>
    <row r="281" spans="4:5">
      <c r="D281" s="5"/>
      <c r="E281" s="5"/>
    </row>
    <row r="282" spans="4:5">
      <c r="D282" s="5"/>
      <c r="E282" s="5"/>
    </row>
    <row r="283" spans="4:5">
      <c r="D283" s="5"/>
      <c r="E283" s="5"/>
    </row>
    <row r="284" spans="4:5">
      <c r="D284" s="5"/>
      <c r="E284" s="5"/>
    </row>
    <row r="285" spans="4:5">
      <c r="D285" s="5"/>
      <c r="E285" s="5"/>
    </row>
    <row r="286" spans="4:5">
      <c r="D286" s="5"/>
      <c r="E286" s="5"/>
    </row>
    <row r="287" spans="4:5">
      <c r="D287" s="5"/>
      <c r="E287" s="5"/>
    </row>
    <row r="288" spans="4:5">
      <c r="D288" s="5"/>
      <c r="E288" s="5"/>
    </row>
    <row r="289" spans="4:5">
      <c r="D289" s="5"/>
      <c r="E289" s="5"/>
    </row>
    <row r="290" spans="4:5">
      <c r="D290" s="5"/>
      <c r="E290" s="5"/>
    </row>
    <row r="291" spans="4:5">
      <c r="D291" s="5"/>
      <c r="E291" s="5"/>
    </row>
    <row r="292" spans="4:5">
      <c r="D292" s="5"/>
      <c r="E292" s="5"/>
    </row>
    <row r="293" spans="4:5">
      <c r="D293" s="5"/>
      <c r="E293" s="5"/>
    </row>
    <row r="294" spans="4:5">
      <c r="D294" s="5"/>
      <c r="E294" s="5"/>
    </row>
    <row r="295" spans="4:5">
      <c r="D295" s="5"/>
      <c r="E295" s="5"/>
    </row>
    <row r="296" spans="4:5">
      <c r="D296" s="5"/>
      <c r="E296" s="5"/>
    </row>
    <row r="297" spans="4:5">
      <c r="D297" s="5"/>
      <c r="E297" s="5"/>
    </row>
    <row r="298" spans="4:5">
      <c r="D298" s="5"/>
      <c r="E298" s="5"/>
    </row>
    <row r="299" spans="4:5">
      <c r="D299" s="5"/>
      <c r="E299" s="5"/>
    </row>
    <row r="300" spans="4:5">
      <c r="D300" s="5"/>
      <c r="E300" s="5"/>
    </row>
    <row r="301" spans="4:5">
      <c r="D301" s="5"/>
      <c r="E301" s="5"/>
    </row>
    <row r="302" spans="4:5">
      <c r="D302" s="5"/>
      <c r="E302" s="5"/>
    </row>
    <row r="303" spans="4:5">
      <c r="D303" s="5"/>
      <c r="E303" s="5"/>
    </row>
    <row r="304" spans="4:5">
      <c r="D304" s="5"/>
      <c r="E304" s="5"/>
    </row>
  </sheetData>
  <mergeCells count="4">
    <mergeCell ref="A7:E7"/>
    <mergeCell ref="A4:E4"/>
    <mergeCell ref="A5:E5"/>
    <mergeCell ref="A6:E6"/>
  </mergeCells>
  <phoneticPr fontId="5" type="noConversion"/>
  <pageMargins left="0.75" right="0.75" top="1" bottom="1" header="0.5" footer="0.5"/>
  <pageSetup scale="78"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pageSetUpPr fitToPage="1"/>
  </sheetPr>
  <dimension ref="A1:H38"/>
  <sheetViews>
    <sheetView workbookViewId="0">
      <selection activeCell="A4" sqref="A4:E4"/>
    </sheetView>
  </sheetViews>
  <sheetFormatPr defaultRowHeight="12.75"/>
  <cols>
    <col min="1" max="1" width="4.42578125" style="641" bestFit="1" customWidth="1"/>
    <col min="2" max="2" width="54.7109375" bestFit="1" customWidth="1"/>
    <col min="3" max="3" width="15.5703125" style="5" customWidth="1"/>
    <col min="4" max="4" width="3.85546875" customWidth="1"/>
    <col min="5" max="5" width="16.7109375" bestFit="1" customWidth="1"/>
    <col min="6" max="6" width="14.7109375" style="73" customWidth="1"/>
    <col min="7" max="7" width="8.7109375" style="29" bestFit="1" customWidth="1"/>
  </cols>
  <sheetData>
    <row r="1" spans="1:8">
      <c r="D1" t="str">
        <f>'Title Input and Macros'!B7</f>
        <v>Docket No. RP16-299-000</v>
      </c>
    </row>
    <row r="2" spans="1:8">
      <c r="D2" t="s">
        <v>20</v>
      </c>
    </row>
    <row r="4" spans="1:8">
      <c r="A4" s="929" t="str">
        <f>'Sched H-2(1)'!A4:E4</f>
        <v>Tuscarora Gas Transmission Company</v>
      </c>
      <c r="B4" s="927"/>
      <c r="C4" s="927"/>
      <c r="D4" s="927"/>
      <c r="E4" s="927"/>
    </row>
    <row r="5" spans="1:8">
      <c r="A5" s="927" t="s">
        <v>74</v>
      </c>
      <c r="B5" s="927"/>
      <c r="C5" s="927"/>
      <c r="D5" s="927"/>
      <c r="E5" s="927"/>
    </row>
    <row r="6" spans="1:8">
      <c r="A6" s="929" t="str">
        <f>'Title Input and Macros'!B9</f>
        <v>For the Twelve Months Ended December 31, 2015, As Adjusted</v>
      </c>
      <c r="B6" s="929"/>
      <c r="C6" s="929"/>
      <c r="D6" s="929"/>
      <c r="E6" s="929"/>
    </row>
    <row r="7" spans="1:8">
      <c r="A7" s="642"/>
      <c r="B7" s="43"/>
      <c r="C7" s="23"/>
      <c r="E7" s="2"/>
    </row>
    <row r="8" spans="1:8" s="2" customFormat="1">
      <c r="A8" s="641"/>
      <c r="C8" s="23"/>
      <c r="D8" s="50"/>
      <c r="E8" s="50"/>
      <c r="F8" s="50"/>
      <c r="G8"/>
    </row>
    <row r="9" spans="1:8">
      <c r="A9" s="641" t="s">
        <v>352</v>
      </c>
      <c r="B9" s="2"/>
      <c r="C9" s="58"/>
      <c r="D9" s="606"/>
      <c r="E9" s="606"/>
      <c r="F9" s="50"/>
      <c r="G9"/>
    </row>
    <row r="10" spans="1:8">
      <c r="A10" s="3" t="s">
        <v>353</v>
      </c>
      <c r="B10" s="3" t="s">
        <v>62</v>
      </c>
      <c r="C10" s="59" t="s">
        <v>356</v>
      </c>
      <c r="D10" s="617"/>
      <c r="E10" s="606"/>
      <c r="F10" s="50"/>
      <c r="G10"/>
    </row>
    <row r="11" spans="1:8">
      <c r="B11" s="2" t="s">
        <v>361</v>
      </c>
      <c r="C11" s="23" t="s">
        <v>362</v>
      </c>
      <c r="D11" s="606"/>
      <c r="E11" s="606"/>
      <c r="F11" s="50"/>
      <c r="G11"/>
    </row>
    <row r="12" spans="1:8">
      <c r="B12" s="51" t="s">
        <v>69</v>
      </c>
      <c r="C12" s="23" t="s">
        <v>365</v>
      </c>
      <c r="D12" s="606"/>
      <c r="E12" s="606"/>
      <c r="F12" s="50"/>
      <c r="G12"/>
    </row>
    <row r="13" spans="1:8">
      <c r="A13" s="641">
        <v>1</v>
      </c>
      <c r="B13" t="s">
        <v>196</v>
      </c>
      <c r="C13" s="68">
        <f>B!D32</f>
        <v>73242113.732464164</v>
      </c>
      <c r="D13" s="127"/>
      <c r="E13" s="127"/>
      <c r="F13" s="127"/>
      <c r="G13" s="48"/>
      <c r="H13" s="35"/>
    </row>
    <row r="14" spans="1:8">
      <c r="A14" s="641">
        <f t="shared" ref="A14:A23" si="0">A13+1</f>
        <v>2</v>
      </c>
      <c r="B14" s="72" t="str">
        <f>"Return on Rate Base @ "&amp;TEXT('F-2'!I16,"0.00%")</f>
        <v>Return on Rate Base @ 11.24%</v>
      </c>
      <c r="C14" s="68">
        <f>B!D36</f>
        <v>8232413.5835289722</v>
      </c>
      <c r="D14" s="127"/>
      <c r="E14" s="127"/>
      <c r="F14" s="127"/>
      <c r="G14" s="48"/>
      <c r="H14" s="35"/>
    </row>
    <row r="15" spans="1:8">
      <c r="A15" s="641">
        <f t="shared" si="0"/>
        <v>3</v>
      </c>
      <c r="B15" s="72" t="str">
        <f>"Less:  Interest Expense @ "&amp;TEXT('F-2'!I14,"0.00%")</f>
        <v>Less:  Interest Expense @ 1.06%</v>
      </c>
      <c r="C15" s="68">
        <f>-B!D34</f>
        <v>-776366.40556412016</v>
      </c>
      <c r="D15" s="127"/>
      <c r="E15" s="128"/>
      <c r="F15" s="128"/>
      <c r="G15" s="53"/>
      <c r="H15" s="35"/>
    </row>
    <row r="16" spans="1:8" ht="13.5" thickBot="1">
      <c r="A16" s="641">
        <f t="shared" si="0"/>
        <v>4</v>
      </c>
      <c r="B16" s="42" t="s">
        <v>69</v>
      </c>
      <c r="C16" s="69">
        <f>SUM(C14:C15)</f>
        <v>7456047.1779648522</v>
      </c>
      <c r="D16" s="127"/>
      <c r="E16" s="127"/>
      <c r="F16" s="127"/>
      <c r="G16" s="53"/>
      <c r="H16" s="35"/>
    </row>
    <row r="17" spans="1:8" ht="13.5" thickTop="1">
      <c r="A17" s="641">
        <f t="shared" si="0"/>
        <v>5</v>
      </c>
      <c r="B17" s="51" t="s">
        <v>70</v>
      </c>
      <c r="C17" s="68"/>
      <c r="D17" s="127"/>
      <c r="E17" s="128"/>
      <c r="F17" s="128"/>
      <c r="G17" s="53"/>
      <c r="H17" s="35"/>
    </row>
    <row r="18" spans="1:8">
      <c r="C18" s="68"/>
      <c r="D18" s="127"/>
      <c r="E18" s="128"/>
      <c r="F18" s="128"/>
      <c r="G18" s="53"/>
      <c r="H18" s="35"/>
    </row>
    <row r="19" spans="1:8">
      <c r="A19" s="641">
        <v>6</v>
      </c>
      <c r="B19" t="s">
        <v>25</v>
      </c>
      <c r="C19" s="68">
        <v>11435</v>
      </c>
      <c r="D19" s="127"/>
      <c r="E19" s="128"/>
      <c r="F19" s="128"/>
      <c r="G19" s="53"/>
      <c r="H19" s="35"/>
    </row>
    <row r="20" spans="1:8" ht="13.5" thickBot="1">
      <c r="A20" s="641">
        <f t="shared" si="0"/>
        <v>7</v>
      </c>
      <c r="B20" s="42" t="s">
        <v>71</v>
      </c>
      <c r="C20" s="69">
        <f>SUM(C18:C19)</f>
        <v>11435</v>
      </c>
      <c r="D20" s="127"/>
      <c r="E20" s="127"/>
      <c r="F20" s="127"/>
      <c r="G20" s="53"/>
      <c r="H20" s="35"/>
    </row>
    <row r="21" spans="1:8" ht="13.5" thickTop="1">
      <c r="C21" s="68"/>
      <c r="D21" s="127"/>
      <c r="E21" s="128"/>
      <c r="F21" s="128"/>
      <c r="G21" s="53"/>
      <c r="H21" s="35"/>
    </row>
    <row r="22" spans="1:8">
      <c r="A22" s="641">
        <f>+A20+1</f>
        <v>8</v>
      </c>
      <c r="B22" s="51" t="s">
        <v>72</v>
      </c>
      <c r="C22" s="78"/>
      <c r="D22" s="128"/>
      <c r="E22" s="128"/>
      <c r="F22" s="128"/>
      <c r="G22" s="48"/>
      <c r="H22" s="35"/>
    </row>
    <row r="23" spans="1:8">
      <c r="A23" s="641">
        <f t="shared" si="0"/>
        <v>9</v>
      </c>
      <c r="B23" s="19" t="s">
        <v>73</v>
      </c>
      <c r="C23" s="128">
        <f>+C16+C20</f>
        <v>7467482.1779648522</v>
      </c>
      <c r="D23" s="128"/>
      <c r="E23" s="128"/>
      <c r="F23" s="128"/>
      <c r="G23" s="48"/>
      <c r="H23" s="35"/>
    </row>
    <row r="24" spans="1:8">
      <c r="B24" s="19"/>
      <c r="C24" s="128"/>
      <c r="D24" s="128"/>
      <c r="E24" s="128"/>
      <c r="F24" s="128"/>
      <c r="G24" s="48"/>
      <c r="H24" s="35"/>
    </row>
    <row r="25" spans="1:8" ht="13.5" thickBot="1">
      <c r="A25" s="641">
        <v>10</v>
      </c>
      <c r="B25" s="188" t="s">
        <v>834</v>
      </c>
      <c r="C25" s="69">
        <f>C23*'H-3(1)'!J27/(1-'H-3(1)'!J27)</f>
        <v>4610026.5621045781</v>
      </c>
      <c r="D25" s="5"/>
      <c r="E25" s="48"/>
      <c r="F25" s="12"/>
      <c r="H25" s="5"/>
    </row>
    <row r="26" spans="1:8" ht="13.5" thickTop="1">
      <c r="D26" s="5"/>
      <c r="E26" s="5"/>
      <c r="F26" s="12"/>
      <c r="H26" s="5"/>
    </row>
    <row r="27" spans="1:8">
      <c r="D27" s="5"/>
      <c r="E27" s="5"/>
      <c r="F27" s="12"/>
      <c r="H27" s="5"/>
    </row>
    <row r="28" spans="1:8">
      <c r="D28" s="5"/>
      <c r="E28" s="5"/>
      <c r="F28" s="12"/>
      <c r="H28" s="5"/>
    </row>
    <row r="29" spans="1:8">
      <c r="D29" s="5"/>
      <c r="E29" s="5"/>
      <c r="F29" s="12"/>
      <c r="H29" s="5"/>
    </row>
    <row r="30" spans="1:8">
      <c r="D30" s="5"/>
      <c r="E30" s="5"/>
      <c r="F30" s="12"/>
      <c r="H30" s="5"/>
    </row>
    <row r="31" spans="1:8">
      <c r="D31" s="5"/>
      <c r="E31" s="5"/>
      <c r="F31" s="12"/>
      <c r="H31" s="5"/>
    </row>
    <row r="32" spans="1:8">
      <c r="D32" s="5"/>
      <c r="E32" s="5"/>
      <c r="F32" s="12"/>
      <c r="H32" s="5"/>
    </row>
    <row r="33" spans="4:8">
      <c r="D33" s="5"/>
      <c r="E33" s="5"/>
      <c r="F33" s="12"/>
      <c r="H33" s="5"/>
    </row>
    <row r="34" spans="4:8">
      <c r="D34" s="5"/>
      <c r="E34" s="5"/>
      <c r="F34" s="12"/>
      <c r="H34" s="5"/>
    </row>
    <row r="35" spans="4:8">
      <c r="D35" s="5"/>
      <c r="E35" s="5"/>
      <c r="F35" s="12"/>
      <c r="H35" s="5"/>
    </row>
    <row r="36" spans="4:8">
      <c r="D36" s="5"/>
      <c r="E36" s="5"/>
      <c r="F36" s="12"/>
      <c r="H36" s="5"/>
    </row>
    <row r="37" spans="4:8">
      <c r="D37" s="5"/>
      <c r="E37" s="5"/>
      <c r="F37" s="12"/>
      <c r="H37" s="5"/>
    </row>
    <row r="38" spans="4:8">
      <c r="D38" s="5"/>
      <c r="E38" s="5"/>
      <c r="F38" s="12"/>
      <c r="H38" s="5"/>
    </row>
  </sheetData>
  <mergeCells count="3">
    <mergeCell ref="A4:E4"/>
    <mergeCell ref="A5:E5"/>
    <mergeCell ref="A6:E6"/>
  </mergeCells>
  <phoneticPr fontId="5" type="noConversion"/>
  <pageMargins left="0.75" right="0.75" top="1" bottom="1" header="0.5" footer="0.5"/>
  <pageSetup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indexed="17"/>
    <pageSetUpPr fitToPage="1"/>
  </sheetPr>
  <dimension ref="A1:K28"/>
  <sheetViews>
    <sheetView topLeftCell="D1" zoomScaleNormal="100" workbookViewId="0">
      <selection activeCell="A4" sqref="A4:J4"/>
    </sheetView>
  </sheetViews>
  <sheetFormatPr defaultRowHeight="12.75"/>
  <cols>
    <col min="1" max="3" width="0" hidden="1" customWidth="1"/>
    <col min="4" max="4" width="4.42578125" style="641" bestFit="1" customWidth="1"/>
    <col min="5" max="5" width="26.28515625" bestFit="1" customWidth="1"/>
    <col min="6" max="6" width="3.42578125" customWidth="1"/>
    <col min="7" max="7" width="1.140625" hidden="1" customWidth="1"/>
    <col min="8" max="8" width="11.85546875" style="416" customWidth="1"/>
    <col min="9" max="9" width="11.7109375" style="643" customWidth="1"/>
    <col min="10" max="10" width="12.28515625" style="641" customWidth="1"/>
    <col min="11" max="11" width="20.42578125" bestFit="1" customWidth="1"/>
  </cols>
  <sheetData>
    <row r="1" spans="1:10">
      <c r="I1" t="str">
        <f>'Title Input and Macros'!B7</f>
        <v>Docket No. RP16-299-000</v>
      </c>
      <c r="J1"/>
    </row>
    <row r="2" spans="1:10">
      <c r="I2" t="s">
        <v>21</v>
      </c>
      <c r="J2"/>
    </row>
    <row r="3" spans="1:10">
      <c r="I3"/>
      <c r="J3"/>
    </row>
    <row r="4" spans="1:10">
      <c r="A4" s="929" t="str">
        <f>'H-3'!A4:E4</f>
        <v>Tuscarora Gas Transmission Company</v>
      </c>
      <c r="B4" s="929"/>
      <c r="C4" s="929"/>
      <c r="D4" s="929"/>
      <c r="E4" s="929"/>
      <c r="F4" s="929"/>
      <c r="G4" s="929"/>
      <c r="H4" s="929"/>
      <c r="I4" s="929"/>
      <c r="J4" s="929"/>
    </row>
    <row r="5" spans="1:10">
      <c r="A5" s="946" t="s">
        <v>1081</v>
      </c>
      <c r="B5" s="946"/>
      <c r="C5" s="946"/>
      <c r="D5" s="946"/>
      <c r="E5" s="946"/>
      <c r="F5" s="946"/>
      <c r="G5" s="946"/>
      <c r="H5" s="946"/>
      <c r="I5" s="946"/>
      <c r="J5" s="946"/>
    </row>
    <row r="6" spans="1:10">
      <c r="A6" s="933" t="s">
        <v>765</v>
      </c>
      <c r="B6" s="933"/>
      <c r="C6" s="933"/>
      <c r="D6" s="933"/>
      <c r="E6" s="933"/>
      <c r="F6" s="933"/>
      <c r="G6" s="933"/>
      <c r="H6" s="933"/>
      <c r="I6" s="933"/>
      <c r="J6" s="933"/>
    </row>
    <row r="8" spans="1:10" ht="38.25">
      <c r="D8" s="871" t="s">
        <v>352</v>
      </c>
      <c r="E8" s="649" t="s">
        <v>1076</v>
      </c>
      <c r="H8" s="876" t="s">
        <v>835</v>
      </c>
      <c r="I8" s="877" t="s">
        <v>41</v>
      </c>
      <c r="J8" s="649" t="s">
        <v>836</v>
      </c>
    </row>
    <row r="9" spans="1:10">
      <c r="D9" s="3" t="s">
        <v>353</v>
      </c>
      <c r="E9" s="871" t="s">
        <v>361</v>
      </c>
      <c r="H9" s="871" t="s">
        <v>362</v>
      </c>
      <c r="I9" s="871" t="s">
        <v>366</v>
      </c>
      <c r="J9" s="871" t="s">
        <v>363</v>
      </c>
    </row>
    <row r="10" spans="1:10">
      <c r="D10" s="641">
        <v>1</v>
      </c>
      <c r="E10" t="s">
        <v>837</v>
      </c>
      <c r="H10" s="416">
        <v>1688703.8117000004</v>
      </c>
      <c r="I10" s="643">
        <v>2.5993207605527351E-2</v>
      </c>
      <c r="J10" s="47">
        <v>1.0454591934326357E-2</v>
      </c>
    </row>
    <row r="11" spans="1:10">
      <c r="D11" s="641">
        <v>2</v>
      </c>
      <c r="E11" t="s">
        <v>838</v>
      </c>
      <c r="H11" s="416">
        <v>877148.92910000018</v>
      </c>
      <c r="I11" s="643">
        <v>1.3501428762756128E-2</v>
      </c>
      <c r="J11" s="47">
        <v>5.8036246970079187E-3</v>
      </c>
    </row>
    <row r="12" spans="1:10">
      <c r="D12" s="641">
        <v>3</v>
      </c>
      <c r="E12" t="s">
        <v>839</v>
      </c>
      <c r="H12" s="416">
        <v>33802.071200000006</v>
      </c>
      <c r="I12" s="643">
        <v>5.2029506187583913E-4</v>
      </c>
      <c r="J12" s="47">
        <v>1.7099511219513156E-4</v>
      </c>
    </row>
    <row r="13" spans="1:10">
      <c r="D13" s="641">
        <v>4</v>
      </c>
      <c r="E13" t="s">
        <v>840</v>
      </c>
      <c r="H13" s="416">
        <v>766894.08000000007</v>
      </c>
      <c r="I13" s="643">
        <v>1.1804341824054104E-2</v>
      </c>
      <c r="J13" s="47">
        <v>5.0048224577925529E-3</v>
      </c>
    </row>
    <row r="14" spans="1:10">
      <c r="D14" s="641">
        <v>5</v>
      </c>
      <c r="E14" t="s">
        <v>841</v>
      </c>
      <c r="H14" s="416">
        <v>2018212.955900002</v>
      </c>
      <c r="I14" s="643">
        <v>3.1065144752686385E-2</v>
      </c>
      <c r="J14" s="47">
        <v>1.0241188422269676E-2</v>
      </c>
    </row>
    <row r="15" spans="1:10">
      <c r="D15" s="641">
        <v>6</v>
      </c>
      <c r="E15" t="s">
        <v>819</v>
      </c>
      <c r="H15" s="416">
        <v>883428.15890000004</v>
      </c>
      <c r="I15" s="643">
        <v>1.3598081190886731E-2</v>
      </c>
      <c r="J15" s="47">
        <v>5.6010113706721609E-3</v>
      </c>
    </row>
    <row r="16" spans="1:10">
      <c r="D16" s="641">
        <v>7</v>
      </c>
      <c r="E16" t="s">
        <v>842</v>
      </c>
      <c r="H16" s="416">
        <v>80520.388100000011</v>
      </c>
      <c r="I16" s="643">
        <v>1.2394021674256481E-3</v>
      </c>
      <c r="J16" s="47">
        <v>0</v>
      </c>
    </row>
    <row r="17" spans="4:11">
      <c r="D17" s="641">
        <v>8</v>
      </c>
      <c r="E17" t="s">
        <v>843</v>
      </c>
      <c r="H17" s="416">
        <v>8807387.6261999886</v>
      </c>
      <c r="I17" s="643">
        <v>0.13556684922722198</v>
      </c>
      <c r="J17" s="47">
        <v>5.0298271992432572E-2</v>
      </c>
    </row>
    <row r="18" spans="4:11">
      <c r="D18" s="641">
        <v>9</v>
      </c>
      <c r="E18" t="s">
        <v>844</v>
      </c>
      <c r="H18" s="416">
        <v>774083.09070000006</v>
      </c>
      <c r="I18" s="643">
        <v>1.1914997965355369E-2</v>
      </c>
      <c r="J18" s="47">
        <v>4.7407936599507556E-3</v>
      </c>
    </row>
    <row r="19" spans="4:11">
      <c r="D19" s="641">
        <v>10</v>
      </c>
      <c r="E19" t="s">
        <v>845</v>
      </c>
      <c r="H19" s="416">
        <v>86430.065000000002</v>
      </c>
      <c r="I19" s="643">
        <v>1.3303662888298927E-3</v>
      </c>
      <c r="J19" s="47">
        <v>5.1963000455549778E-4</v>
      </c>
    </row>
    <row r="20" spans="4:11">
      <c r="D20" s="641">
        <v>11</v>
      </c>
      <c r="E20" t="s">
        <v>846</v>
      </c>
      <c r="H20" s="416">
        <v>43025237.621300012</v>
      </c>
      <c r="I20" s="643">
        <v>0.66226174538076732</v>
      </c>
      <c r="J20" s="47">
        <v>0.25411083752507424</v>
      </c>
      <c r="K20" s="644" t="s">
        <v>579</v>
      </c>
    </row>
    <row r="21" spans="4:11">
      <c r="D21" s="641">
        <v>12</v>
      </c>
      <c r="E21" t="s">
        <v>847</v>
      </c>
      <c r="H21" s="416">
        <v>417.99299999999999</v>
      </c>
      <c r="I21" s="643">
        <v>0</v>
      </c>
      <c r="J21" s="47">
        <v>0</v>
      </c>
    </row>
    <row r="22" spans="4:11" ht="15">
      <c r="D22" s="641">
        <v>13</v>
      </c>
      <c r="E22" t="s">
        <v>848</v>
      </c>
      <c r="H22" s="645">
        <v>6775234.0577999903</v>
      </c>
      <c r="I22" s="646">
        <v>0.10428712496547662</v>
      </c>
      <c r="J22" s="47">
        <v>3.9005442861433107E-2</v>
      </c>
      <c r="K22" s="647" t="s">
        <v>579</v>
      </c>
    </row>
    <row r="23" spans="4:11">
      <c r="D23" s="641">
        <v>14</v>
      </c>
      <c r="E23" t="s">
        <v>849</v>
      </c>
      <c r="H23" s="418">
        <v>729573</v>
      </c>
      <c r="I23" s="875">
        <v>1.1229880764760402E-2</v>
      </c>
      <c r="J23" s="875">
        <v>5.0350441188257537E-3</v>
      </c>
    </row>
    <row r="25" spans="4:11">
      <c r="D25" s="641">
        <v>15</v>
      </c>
      <c r="E25" t="s">
        <v>356</v>
      </c>
      <c r="H25" s="416">
        <f>SUM(H10:H24)</f>
        <v>66547073.84889999</v>
      </c>
      <c r="I25" s="643">
        <f>SUM(I10:I24)</f>
        <v>1.0243128659576237</v>
      </c>
      <c r="J25" s="643">
        <f>SUM(J10:J24)</f>
        <v>0.39098625415653576</v>
      </c>
    </row>
    <row r="26" spans="4:11">
      <c r="D26" s="641">
        <v>16</v>
      </c>
      <c r="E26" s="878" t="s">
        <v>206</v>
      </c>
      <c r="H26" s="585">
        <v>64967119</v>
      </c>
      <c r="I26" s="893">
        <f>H27/H26</f>
        <v>2.431929987383295E-2</v>
      </c>
      <c r="J26" s="893">
        <f>J25/I25*I26</f>
        <v>9.2828200029392485E-3</v>
      </c>
    </row>
    <row r="27" spans="4:11" ht="13.5" thickBot="1">
      <c r="D27" s="641">
        <v>17</v>
      </c>
      <c r="E27" s="188" t="s">
        <v>850</v>
      </c>
      <c r="H27" s="586">
        <f>H25-H26</f>
        <v>1579954.8488999903</v>
      </c>
      <c r="I27" s="894">
        <f>I25-I26</f>
        <v>0.99999356608379075</v>
      </c>
      <c r="J27" s="894">
        <f>J25-J26</f>
        <v>0.38170343415359653</v>
      </c>
    </row>
    <row r="28" spans="4:11" ht="13.5" thickTop="1"/>
  </sheetData>
  <mergeCells count="3">
    <mergeCell ref="A4:J4"/>
    <mergeCell ref="A5:J5"/>
    <mergeCell ref="A6:J6"/>
  </mergeCells>
  <phoneticPr fontId="5" type="noConversion"/>
  <pageMargins left="0.75" right="0.75" top="1" bottom="1" header="0.5" footer="0.5"/>
  <pageSetup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tabColor indexed="17"/>
    <pageSetUpPr fitToPage="1"/>
  </sheetPr>
  <dimension ref="A1:F18"/>
  <sheetViews>
    <sheetView zoomScaleNormal="100" workbookViewId="0">
      <selection activeCell="B13" sqref="B13"/>
    </sheetView>
  </sheetViews>
  <sheetFormatPr defaultRowHeight="12.75"/>
  <cols>
    <col min="1" max="1" width="7.7109375" customWidth="1"/>
    <col min="2" max="2" width="54.7109375" bestFit="1" customWidth="1"/>
    <col min="3" max="3" width="16.7109375" style="45" customWidth="1"/>
    <col min="4" max="4" width="14.28515625" bestFit="1" customWidth="1"/>
    <col min="5" max="5" width="15.140625" customWidth="1"/>
    <col min="6" max="6" width="10.140625" bestFit="1" customWidth="1"/>
  </cols>
  <sheetData>
    <row r="1" spans="1:6">
      <c r="C1" s="45" t="str">
        <f>'Title Input and Macros'!B7</f>
        <v>Docket No. RP16-299-000</v>
      </c>
    </row>
    <row r="2" spans="1:6">
      <c r="C2" s="45" t="s">
        <v>22</v>
      </c>
    </row>
    <row r="3" spans="1:6" ht="13.5" customHeight="1"/>
    <row r="4" spans="1:6">
      <c r="A4" s="929" t="str">
        <f>'H-3'!A4:E4</f>
        <v>Tuscarora Gas Transmission Company</v>
      </c>
      <c r="B4" s="927"/>
      <c r="C4" s="927"/>
    </row>
    <row r="5" spans="1:6">
      <c r="A5" s="927" t="s">
        <v>23</v>
      </c>
      <c r="B5" s="927"/>
      <c r="C5" s="927"/>
    </row>
    <row r="6" spans="1:6">
      <c r="A6" s="929" t="str">
        <f>'Title Input and Macros'!B11</f>
        <v>as of 12/31/2015</v>
      </c>
      <c r="B6" s="929"/>
      <c r="C6" s="929"/>
      <c r="E6" s="2"/>
    </row>
    <row r="7" spans="1:6">
      <c r="A7" s="43"/>
      <c r="B7" s="43"/>
      <c r="C7" s="44"/>
      <c r="E7" s="2"/>
    </row>
    <row r="8" spans="1:6" s="2" customFormat="1">
      <c r="C8" s="44"/>
      <c r="D8" s="50"/>
      <c r="E8" s="50"/>
    </row>
    <row r="9" spans="1:6" ht="34.5" customHeight="1">
      <c r="A9" s="952" t="s">
        <v>1082</v>
      </c>
      <c r="B9" s="952"/>
      <c r="C9" s="952"/>
      <c r="F9" s="5"/>
    </row>
    <row r="10" spans="1:6">
      <c r="F10" s="5"/>
    </row>
    <row r="11" spans="1:6">
      <c r="F11" s="5"/>
    </row>
    <row r="12" spans="1:6">
      <c r="F12" s="5"/>
    </row>
    <row r="13" spans="1:6">
      <c r="F13" s="5"/>
    </row>
    <row r="14" spans="1:6">
      <c r="F14" s="5"/>
    </row>
    <row r="15" spans="1:6">
      <c r="F15" s="5"/>
    </row>
    <row r="16" spans="1:6">
      <c r="F16" s="5"/>
    </row>
    <row r="17" spans="4:6">
      <c r="D17" s="5"/>
      <c r="E17" s="5"/>
      <c r="F17" s="5"/>
    </row>
    <row r="18" spans="4:6">
      <c r="D18" s="5"/>
      <c r="E18" s="5"/>
      <c r="F18" s="5"/>
    </row>
  </sheetData>
  <mergeCells count="4">
    <mergeCell ref="A6:C6"/>
    <mergeCell ref="A4:C4"/>
    <mergeCell ref="A5:C5"/>
    <mergeCell ref="A9:C9"/>
  </mergeCells>
  <phoneticPr fontId="5" type="noConversion"/>
  <printOptions horizontalCentered="1"/>
  <pageMargins left="0.75" right="0.7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7"/>
    <pageSetUpPr fitToPage="1"/>
  </sheetPr>
  <dimension ref="A1:K40"/>
  <sheetViews>
    <sheetView zoomScale="80" zoomScaleNormal="80" workbookViewId="0">
      <selection activeCell="A4" sqref="A4:H4"/>
    </sheetView>
  </sheetViews>
  <sheetFormatPr defaultRowHeight="12.75"/>
  <cols>
    <col min="1" max="1" width="4.42578125" bestFit="1" customWidth="1"/>
    <col min="2" max="2" width="69.42578125" bestFit="1" customWidth="1"/>
    <col min="3" max="3" width="8" bestFit="1" customWidth="1"/>
    <col min="4" max="4" width="17.5703125" bestFit="1" customWidth="1"/>
    <col min="5" max="5" width="11.85546875" bestFit="1" customWidth="1"/>
    <col min="6" max="6" width="18.42578125" customWidth="1"/>
    <col min="7" max="7" width="13.7109375" bestFit="1" customWidth="1"/>
    <col min="8" max="8" width="18.85546875" customWidth="1"/>
    <col min="10" max="10" width="12.28515625" bestFit="1" customWidth="1"/>
  </cols>
  <sheetData>
    <row r="1" spans="1:10">
      <c r="F1" t="str">
        <f>A!D1</f>
        <v>Docket No. RP16-299-000</v>
      </c>
    </row>
    <row r="2" spans="1:10">
      <c r="F2" t="s">
        <v>197</v>
      </c>
    </row>
    <row r="3" spans="1:10">
      <c r="A3" s="927"/>
      <c r="B3" s="927"/>
      <c r="C3" s="927"/>
      <c r="D3" s="927"/>
      <c r="E3" s="927"/>
      <c r="F3" t="s">
        <v>251</v>
      </c>
    </row>
    <row r="4" spans="1:10">
      <c r="A4" s="927" t="str">
        <f>'Sched B-1 Pg 1'!A4:F4</f>
        <v>Tuscarora Gas Transmission Company</v>
      </c>
      <c r="B4" s="927"/>
      <c r="C4" s="927"/>
      <c r="D4" s="927"/>
      <c r="E4" s="927"/>
      <c r="F4" s="927"/>
      <c r="G4" s="927"/>
      <c r="H4" s="927"/>
    </row>
    <row r="5" spans="1:10">
      <c r="A5" s="927" t="s">
        <v>198</v>
      </c>
      <c r="B5" s="927"/>
      <c r="C5" s="927"/>
      <c r="D5" s="927"/>
      <c r="E5" s="927"/>
      <c r="F5" s="927"/>
      <c r="G5" s="927"/>
      <c r="H5" s="927"/>
    </row>
    <row r="6" spans="1:10">
      <c r="A6" s="927" t="str">
        <f>A!A6:D6</f>
        <v>For the Twelve Months Ended December 31, 2015, As Adjusted</v>
      </c>
      <c r="B6" s="927"/>
      <c r="C6" s="927"/>
      <c r="D6" s="927"/>
      <c r="E6" s="927"/>
      <c r="F6" s="927"/>
      <c r="G6" s="927"/>
      <c r="H6" s="927"/>
    </row>
    <row r="7" spans="1:10">
      <c r="A7" s="2"/>
      <c r="B7" s="2"/>
      <c r="C7" s="2"/>
      <c r="D7" s="2"/>
      <c r="E7" s="2"/>
      <c r="F7" s="2"/>
      <c r="G7" s="2"/>
      <c r="H7" s="2"/>
    </row>
    <row r="8" spans="1:10">
      <c r="A8" s="927"/>
      <c r="B8" s="927"/>
      <c r="C8" s="927"/>
      <c r="D8" s="927"/>
      <c r="E8" s="927"/>
      <c r="H8" s="207">
        <f>F9</f>
        <v>42551</v>
      </c>
    </row>
    <row r="9" spans="1:10">
      <c r="C9" s="2"/>
      <c r="D9" s="207">
        <f>'Title Input and Macros'!B12</f>
        <v>42369</v>
      </c>
      <c r="E9" t="s">
        <v>822</v>
      </c>
      <c r="F9" s="484">
        <f>'Title Input and Macros'!B14</f>
        <v>42551</v>
      </c>
      <c r="H9" s="621" t="s">
        <v>824</v>
      </c>
    </row>
    <row r="10" spans="1:10">
      <c r="A10" t="s">
        <v>352</v>
      </c>
      <c r="C10" s="2" t="s">
        <v>393</v>
      </c>
      <c r="D10" s="3" t="s">
        <v>205</v>
      </c>
      <c r="E10" s="621" t="s">
        <v>312</v>
      </c>
      <c r="F10" s="3" t="s">
        <v>205</v>
      </c>
      <c r="G10" s="2" t="s">
        <v>431</v>
      </c>
      <c r="H10" s="621" t="s">
        <v>825</v>
      </c>
    </row>
    <row r="11" spans="1:10">
      <c r="A11" s="1" t="s">
        <v>353</v>
      </c>
      <c r="B11" s="3" t="s">
        <v>62</v>
      </c>
      <c r="C11" s="3" t="s">
        <v>204</v>
      </c>
      <c r="D11" s="3" t="s">
        <v>203</v>
      </c>
      <c r="E11" s="624" t="s">
        <v>823</v>
      </c>
      <c r="F11" s="3" t="s">
        <v>578</v>
      </c>
      <c r="G11" s="3" t="s">
        <v>196</v>
      </c>
      <c r="H11" s="624" t="s">
        <v>826</v>
      </c>
    </row>
    <row r="12" spans="1:10">
      <c r="B12" s="2" t="s">
        <v>361</v>
      </c>
      <c r="C12" s="2" t="s">
        <v>362</v>
      </c>
      <c r="D12" s="2" t="s">
        <v>366</v>
      </c>
      <c r="E12" s="2" t="s">
        <v>363</v>
      </c>
      <c r="F12" s="2" t="s">
        <v>364</v>
      </c>
      <c r="G12" s="2" t="s">
        <v>379</v>
      </c>
      <c r="H12" s="2" t="s">
        <v>380</v>
      </c>
    </row>
    <row r="13" spans="1:10">
      <c r="B13" s="4"/>
      <c r="C13" s="2"/>
      <c r="D13" s="2" t="s">
        <v>365</v>
      </c>
      <c r="E13" s="2" t="s">
        <v>365</v>
      </c>
      <c r="F13" s="2" t="s">
        <v>365</v>
      </c>
      <c r="G13" s="132" t="s">
        <v>365</v>
      </c>
      <c r="H13" s="2" t="s">
        <v>365</v>
      </c>
    </row>
    <row r="14" spans="1:10">
      <c r="A14">
        <v>1</v>
      </c>
      <c r="B14" s="7" t="s">
        <v>746</v>
      </c>
      <c r="C14" s="2">
        <v>282</v>
      </c>
      <c r="D14" s="68">
        <f>'Sched B-1 Pg 1'!D25</f>
        <v>-27080086</v>
      </c>
      <c r="E14" s="269">
        <v>-297643</v>
      </c>
      <c r="F14" s="68">
        <f>D14+E14</f>
        <v>-27377729</v>
      </c>
      <c r="G14" s="588">
        <f>-'Sched B-2 pg 1'!D31-'Sched B-1 Pg 2'!G27</f>
        <v>-210235</v>
      </c>
      <c r="H14" s="68">
        <f>F14-G14</f>
        <v>-27167494</v>
      </c>
      <c r="I14" s="5"/>
      <c r="J14" s="5"/>
    </row>
    <row r="15" spans="1:10">
      <c r="A15">
        <f>+A14+1</f>
        <v>2</v>
      </c>
      <c r="B15" s="7"/>
      <c r="C15" s="2"/>
      <c r="D15" s="269">
        <v>0</v>
      </c>
      <c r="E15" s="269">
        <v>0</v>
      </c>
      <c r="F15" s="68">
        <f>D15+E15</f>
        <v>0</v>
      </c>
      <c r="G15" s="106"/>
      <c r="H15" s="68">
        <f>F15-G15</f>
        <v>0</v>
      </c>
      <c r="I15" s="5"/>
      <c r="J15" s="5"/>
    </row>
    <row r="16" spans="1:10">
      <c r="A16">
        <f>+A15+1</f>
        <v>3</v>
      </c>
      <c r="B16" s="7"/>
      <c r="C16" s="2"/>
      <c r="D16" s="269">
        <v>0</v>
      </c>
      <c r="E16" s="269">
        <v>0</v>
      </c>
      <c r="F16" s="68">
        <f>D16+E16</f>
        <v>0</v>
      </c>
      <c r="G16" s="106"/>
      <c r="H16" s="68">
        <f>F16-G16</f>
        <v>0</v>
      </c>
      <c r="I16" s="5"/>
      <c r="J16" s="5"/>
    </row>
    <row r="17" spans="1:11">
      <c r="A17">
        <f t="shared" ref="A17:A30" si="0">+A16+1</f>
        <v>4</v>
      </c>
      <c r="B17" s="208"/>
      <c r="C17" s="2"/>
      <c r="D17" s="269">
        <v>0</v>
      </c>
      <c r="E17" s="269">
        <v>0</v>
      </c>
      <c r="F17" s="68">
        <f>D17+E17</f>
        <v>0</v>
      </c>
      <c r="G17" s="106">
        <v>0</v>
      </c>
      <c r="H17" s="68">
        <f>F17-G17</f>
        <v>0</v>
      </c>
      <c r="I17" s="5"/>
      <c r="J17" s="5"/>
    </row>
    <row r="18" spans="1:11" ht="13.5" thickBot="1">
      <c r="A18">
        <f t="shared" si="0"/>
        <v>5</v>
      </c>
      <c r="B18" t="s">
        <v>207</v>
      </c>
      <c r="C18" s="2"/>
      <c r="D18" s="69">
        <f>SUM(D14:D17)</f>
        <v>-27080086</v>
      </c>
      <c r="E18" s="150">
        <f>SUM(E14:E17)</f>
        <v>-297643</v>
      </c>
      <c r="F18" s="69">
        <f>SUM(F14:F17)</f>
        <v>-27377729</v>
      </c>
      <c r="G18" s="150">
        <f>SUM(G14:G17)</f>
        <v>-210235</v>
      </c>
      <c r="H18" s="69">
        <f>SUM(H14:H17)</f>
        <v>-27167494</v>
      </c>
      <c r="I18" s="5"/>
      <c r="J18" s="5"/>
    </row>
    <row r="19" spans="1:11" ht="13.5" thickTop="1">
      <c r="A19">
        <f t="shared" si="0"/>
        <v>6</v>
      </c>
      <c r="B19" t="s">
        <v>9</v>
      </c>
      <c r="C19" s="2">
        <v>190</v>
      </c>
      <c r="D19" s="68">
        <f>'Sched B-1 Pg 1'!C25</f>
        <v>327258</v>
      </c>
      <c r="E19" s="269">
        <v>-15829</v>
      </c>
      <c r="F19" s="68">
        <f t="shared" ref="F19:F28" si="1">D19+E19</f>
        <v>311429</v>
      </c>
      <c r="G19" s="106">
        <f>F19</f>
        <v>311429</v>
      </c>
      <c r="H19" s="68">
        <f t="shared" ref="H19:H28" si="2">F19-G19</f>
        <v>0</v>
      </c>
      <c r="I19" s="5"/>
      <c r="J19" s="68"/>
      <c r="K19" s="7"/>
    </row>
    <row r="20" spans="1:11">
      <c r="A20">
        <f t="shared" si="0"/>
        <v>7</v>
      </c>
      <c r="C20" s="2"/>
      <c r="D20" s="269">
        <v>0</v>
      </c>
      <c r="E20" s="269">
        <v>0</v>
      </c>
      <c r="F20" s="68">
        <f>D20+E20</f>
        <v>0</v>
      </c>
      <c r="G20" s="106"/>
      <c r="H20" s="68">
        <f t="shared" si="2"/>
        <v>0</v>
      </c>
      <c r="I20" s="5"/>
      <c r="K20" s="7"/>
    </row>
    <row r="21" spans="1:11">
      <c r="A21">
        <f t="shared" si="0"/>
        <v>8</v>
      </c>
      <c r="C21" s="2"/>
      <c r="D21" s="269">
        <v>0</v>
      </c>
      <c r="E21" s="269"/>
      <c r="F21" s="68">
        <f t="shared" si="1"/>
        <v>0</v>
      </c>
      <c r="G21" s="106"/>
      <c r="H21" s="68">
        <f t="shared" si="2"/>
        <v>0</v>
      </c>
      <c r="I21" s="5"/>
      <c r="K21" s="7"/>
    </row>
    <row r="22" spans="1:11">
      <c r="A22">
        <f t="shared" si="0"/>
        <v>9</v>
      </c>
      <c r="C22" s="2"/>
      <c r="D22" s="269">
        <v>0</v>
      </c>
      <c r="E22" s="269"/>
      <c r="F22" s="68">
        <f t="shared" si="1"/>
        <v>0</v>
      </c>
      <c r="G22" s="106"/>
      <c r="H22" s="68">
        <f t="shared" si="2"/>
        <v>0</v>
      </c>
      <c r="I22" s="5"/>
      <c r="K22" s="7"/>
    </row>
    <row r="23" spans="1:11">
      <c r="A23">
        <f t="shared" si="0"/>
        <v>10</v>
      </c>
      <c r="C23" s="2"/>
      <c r="D23" s="269">
        <v>0</v>
      </c>
      <c r="E23" s="269"/>
      <c r="F23" s="68">
        <f t="shared" si="1"/>
        <v>0</v>
      </c>
      <c r="G23" s="106"/>
      <c r="H23" s="68">
        <f t="shared" si="2"/>
        <v>0</v>
      </c>
      <c r="I23" s="5"/>
      <c r="K23" s="7"/>
    </row>
    <row r="24" spans="1:11">
      <c r="A24">
        <f t="shared" si="0"/>
        <v>11</v>
      </c>
      <c r="C24" s="2"/>
      <c r="D24" s="269">
        <v>0</v>
      </c>
      <c r="E24" s="269"/>
      <c r="F24" s="68">
        <f t="shared" si="1"/>
        <v>0</v>
      </c>
      <c r="G24" s="106"/>
      <c r="H24" s="68">
        <f t="shared" si="2"/>
        <v>0</v>
      </c>
      <c r="I24" s="5"/>
      <c r="K24" s="7"/>
    </row>
    <row r="25" spans="1:11">
      <c r="A25">
        <f t="shared" si="0"/>
        <v>12</v>
      </c>
      <c r="C25" s="2"/>
      <c r="D25" s="269">
        <v>0</v>
      </c>
      <c r="E25" s="269"/>
      <c r="F25" s="68">
        <f t="shared" si="1"/>
        <v>0</v>
      </c>
      <c r="G25" s="106">
        <v>0</v>
      </c>
      <c r="H25" s="68">
        <f t="shared" si="2"/>
        <v>0</v>
      </c>
      <c r="I25" s="5"/>
      <c r="K25" s="7"/>
    </row>
    <row r="26" spans="1:11" ht="13.5" thickBot="1">
      <c r="A26">
        <f t="shared" si="0"/>
        <v>13</v>
      </c>
      <c r="B26" t="s">
        <v>208</v>
      </c>
      <c r="C26" s="2"/>
      <c r="D26" s="69">
        <f>SUM(D19:D25)</f>
        <v>327258</v>
      </c>
      <c r="E26" s="150">
        <f>SUM(E19:E20)</f>
        <v>-15829</v>
      </c>
      <c r="F26" s="69">
        <f>SUM(F19:F25)</f>
        <v>311429</v>
      </c>
      <c r="G26" s="150">
        <f>SUM(G19:G25)</f>
        <v>311429</v>
      </c>
      <c r="H26" s="69">
        <f>SUM(H19:H25)</f>
        <v>0</v>
      </c>
      <c r="I26" s="5"/>
    </row>
    <row r="27" spans="1:11" ht="13.5" thickTop="1">
      <c r="A27">
        <f t="shared" si="0"/>
        <v>14</v>
      </c>
      <c r="B27" t="s">
        <v>10</v>
      </c>
      <c r="C27" s="2">
        <v>283</v>
      </c>
      <c r="D27" s="106">
        <f>'Sched B-1 Pg 1'!E25</f>
        <v>-102696</v>
      </c>
      <c r="E27" s="269">
        <v>-11284</v>
      </c>
      <c r="F27" s="68">
        <f t="shared" si="1"/>
        <v>-113980</v>
      </c>
      <c r="G27" s="106">
        <f>F27</f>
        <v>-113980</v>
      </c>
      <c r="H27" s="68">
        <f t="shared" si="2"/>
        <v>0</v>
      </c>
      <c r="I27" s="5"/>
    </row>
    <row r="28" spans="1:11">
      <c r="A28">
        <f t="shared" si="0"/>
        <v>15</v>
      </c>
      <c r="C28" s="2"/>
      <c r="D28" s="269">
        <v>0</v>
      </c>
      <c r="E28" s="68"/>
      <c r="F28" s="68">
        <f t="shared" si="1"/>
        <v>0</v>
      </c>
      <c r="G28" s="68">
        <v>0</v>
      </c>
      <c r="H28" s="68">
        <f t="shared" si="2"/>
        <v>0</v>
      </c>
      <c r="I28" s="5"/>
    </row>
    <row r="29" spans="1:11" ht="13.5" thickBot="1">
      <c r="A29">
        <f t="shared" si="0"/>
        <v>16</v>
      </c>
      <c r="B29" t="s">
        <v>209</v>
      </c>
      <c r="C29" s="2"/>
      <c r="D29" s="69">
        <f>SUM(D27:D28)</f>
        <v>-102696</v>
      </c>
      <c r="E29" s="69">
        <f>SUM(E27:E28)</f>
        <v>-11284</v>
      </c>
      <c r="F29" s="69">
        <f>SUM(F27:F28)</f>
        <v>-113980</v>
      </c>
      <c r="G29" s="69">
        <f>SUM(G27:G28)</f>
        <v>-113980</v>
      </c>
      <c r="H29" s="69">
        <f>SUM(H27:H28)</f>
        <v>0</v>
      </c>
      <c r="I29" s="5"/>
    </row>
    <row r="30" spans="1:11" ht="14.25" thickTop="1" thickBot="1">
      <c r="A30">
        <f t="shared" si="0"/>
        <v>17</v>
      </c>
      <c r="B30" t="s">
        <v>210</v>
      </c>
      <c r="C30" s="2"/>
      <c r="D30" s="69">
        <f>D18+D26+D29</f>
        <v>-26855524</v>
      </c>
      <c r="E30" s="69">
        <f>E18+E26+E29</f>
        <v>-324756</v>
      </c>
      <c r="F30" s="69">
        <f>F18+F26+F29</f>
        <v>-27180280</v>
      </c>
      <c r="G30" s="69">
        <f>G18+G26+G29</f>
        <v>-12786</v>
      </c>
      <c r="H30" s="69">
        <f>H18+H26+H29</f>
        <v>-27167494</v>
      </c>
      <c r="I30" s="5"/>
    </row>
    <row r="31" spans="1:11" ht="12" customHeight="1" thickTop="1">
      <c r="B31" s="73"/>
      <c r="C31" s="2"/>
      <c r="D31" s="5"/>
      <c r="E31" s="5"/>
      <c r="F31" s="5"/>
      <c r="G31" s="5"/>
      <c r="H31" s="5"/>
      <c r="I31" s="5"/>
    </row>
    <row r="32" spans="1:11" s="201" customFormat="1">
      <c r="C32" s="202"/>
      <c r="D32" s="209"/>
      <c r="E32" s="203"/>
      <c r="F32" s="203"/>
      <c r="G32" s="203"/>
      <c r="H32" s="203"/>
      <c r="I32" s="203"/>
    </row>
    <row r="33" spans="2:9" s="201" customFormat="1">
      <c r="B33" s="206"/>
      <c r="C33" s="202"/>
      <c r="D33" s="209"/>
      <c r="E33" s="203"/>
      <c r="F33" s="203"/>
      <c r="G33" s="203"/>
      <c r="H33" s="203"/>
      <c r="I33" s="203"/>
    </row>
    <row r="34" spans="2:9" s="201" customFormat="1">
      <c r="C34" s="202"/>
      <c r="D34" s="203"/>
      <c r="E34" s="203"/>
      <c r="F34" s="203"/>
      <c r="G34" s="203"/>
      <c r="H34" s="203"/>
      <c r="I34" s="203"/>
    </row>
    <row r="35" spans="2:9" s="201" customFormat="1">
      <c r="C35" s="202"/>
    </row>
    <row r="36" spans="2:9" s="201" customFormat="1">
      <c r="B36" s="200"/>
      <c r="C36" s="202"/>
    </row>
    <row r="37" spans="2:9" s="201" customFormat="1">
      <c r="C37" s="202"/>
    </row>
    <row r="38" spans="2:9">
      <c r="C38" s="2"/>
    </row>
    <row r="39" spans="2:9">
      <c r="C39" s="2"/>
    </row>
    <row r="40" spans="2:9">
      <c r="C40" s="2"/>
    </row>
  </sheetData>
  <mergeCells count="5">
    <mergeCell ref="A8:E8"/>
    <mergeCell ref="A3:E3"/>
    <mergeCell ref="A5:H5"/>
    <mergeCell ref="A6:H6"/>
    <mergeCell ref="A4:H4"/>
  </mergeCells>
  <phoneticPr fontId="5" type="noConversion"/>
  <pageMargins left="0.75" right="0.75" top="1" bottom="1" header="0.5" footer="0.5"/>
  <pageSetup scale="76" orientation="landscape" r:id="rId1"/>
  <headerFooter alignWithMargins="0"/>
  <ignoredErrors>
    <ignoredError sqref="F18 E26:F26 H26" formula="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indexed="17"/>
    <pageSetUpPr fitToPage="1"/>
  </sheetPr>
  <dimension ref="A1:S41"/>
  <sheetViews>
    <sheetView workbookViewId="0">
      <selection activeCell="A4" sqref="A4:F4"/>
    </sheetView>
  </sheetViews>
  <sheetFormatPr defaultRowHeight="12.75"/>
  <cols>
    <col min="1" max="1" width="4.42578125" bestFit="1" customWidth="1"/>
    <col min="2" max="2" width="54.7109375" bestFit="1" customWidth="1"/>
    <col min="3" max="4" width="16.7109375" style="5" customWidth="1"/>
    <col min="5" max="5" width="14.28515625" bestFit="1" customWidth="1"/>
    <col min="6" max="6" width="12" bestFit="1" customWidth="1"/>
    <col min="7" max="7" width="10.5703125" bestFit="1" customWidth="1"/>
  </cols>
  <sheetData>
    <row r="1" spans="1:19">
      <c r="E1" t="str">
        <f>'Title Input and Macros'!B7</f>
        <v>Docket No. RP16-299-000</v>
      </c>
    </row>
    <row r="2" spans="1:19">
      <c r="E2" t="s">
        <v>26</v>
      </c>
    </row>
    <row r="3" spans="1:19">
      <c r="E3" t="s">
        <v>360</v>
      </c>
    </row>
    <row r="4" spans="1:19">
      <c r="A4" s="927" t="str">
        <f>'H-3(2)'!A4:C4</f>
        <v>Tuscarora Gas Transmission Company</v>
      </c>
      <c r="B4" s="927"/>
      <c r="C4" s="927"/>
      <c r="D4" s="927"/>
      <c r="E4" s="927"/>
      <c r="F4" s="927"/>
    </row>
    <row r="5" spans="1:19">
      <c r="A5" s="927" t="s">
        <v>27</v>
      </c>
      <c r="B5" s="927"/>
      <c r="C5" s="927"/>
      <c r="D5" s="927"/>
      <c r="E5" s="927"/>
      <c r="F5" s="927"/>
    </row>
    <row r="6" spans="1:19">
      <c r="A6" s="929" t="str">
        <f>'Title Input and Macros'!B9</f>
        <v>For the Twelve Months Ended December 31, 2015, As Adjusted</v>
      </c>
      <c r="B6" s="929"/>
      <c r="C6" s="929"/>
      <c r="D6" s="929"/>
      <c r="E6" s="929"/>
      <c r="F6" s="929"/>
    </row>
    <row r="7" spans="1:19">
      <c r="A7" s="43"/>
      <c r="B7" s="43"/>
      <c r="C7" s="23"/>
      <c r="D7" s="23"/>
      <c r="F7" s="2"/>
    </row>
    <row r="8" spans="1:19" s="2" customFormat="1">
      <c r="C8" s="23"/>
      <c r="D8" s="23"/>
      <c r="E8" s="50"/>
      <c r="F8" s="50"/>
    </row>
    <row r="9" spans="1:19">
      <c r="A9" s="2" t="s">
        <v>352</v>
      </c>
      <c r="B9" s="2"/>
      <c r="C9" s="58" t="s">
        <v>309</v>
      </c>
      <c r="D9" s="58"/>
      <c r="E9" s="2" t="s">
        <v>356</v>
      </c>
      <c r="F9" s="50"/>
      <c r="G9" s="50"/>
      <c r="H9" s="2"/>
      <c r="I9" s="2"/>
      <c r="J9" s="2"/>
      <c r="K9" s="2"/>
      <c r="L9" s="2"/>
      <c r="M9" s="2"/>
      <c r="N9" s="2"/>
      <c r="O9" s="2"/>
      <c r="P9" s="2"/>
    </row>
    <row r="10" spans="1:19">
      <c r="A10" s="3" t="s">
        <v>353</v>
      </c>
      <c r="B10" s="3" t="s">
        <v>28</v>
      </c>
      <c r="C10" s="60" t="s">
        <v>38</v>
      </c>
      <c r="D10" s="3" t="s">
        <v>401</v>
      </c>
      <c r="E10" s="3" t="s">
        <v>357</v>
      </c>
      <c r="F10" s="125"/>
      <c r="G10" s="125"/>
      <c r="H10" s="3"/>
      <c r="I10" s="3"/>
      <c r="J10" s="3"/>
      <c r="K10" s="3"/>
      <c r="L10" s="3"/>
      <c r="M10" s="3"/>
      <c r="N10" s="3"/>
      <c r="O10" s="3"/>
      <c r="P10" s="3"/>
      <c r="Q10" s="3"/>
      <c r="R10" s="2"/>
      <c r="S10" s="2"/>
    </row>
    <row r="11" spans="1:19">
      <c r="B11" s="2" t="s">
        <v>361</v>
      </c>
      <c r="C11" s="23" t="s">
        <v>362</v>
      </c>
      <c r="D11" s="23"/>
      <c r="E11" s="23" t="s">
        <v>366</v>
      </c>
      <c r="F11" s="58"/>
      <c r="G11" s="58"/>
    </row>
    <row r="12" spans="1:19">
      <c r="B12" s="2"/>
      <c r="C12" s="23" t="s">
        <v>365</v>
      </c>
      <c r="D12" s="23" t="s">
        <v>365</v>
      </c>
      <c r="E12" s="23" t="s">
        <v>365</v>
      </c>
      <c r="F12" s="58"/>
      <c r="G12" s="58"/>
    </row>
    <row r="13" spans="1:19">
      <c r="B13" s="542" t="s">
        <v>273</v>
      </c>
      <c r="C13"/>
      <c r="D13"/>
      <c r="F13" s="73"/>
      <c r="G13" s="73"/>
    </row>
    <row r="14" spans="1:19">
      <c r="A14">
        <v>1</v>
      </c>
      <c r="B14" s="598" t="s">
        <v>14</v>
      </c>
      <c r="C14" s="593">
        <v>583115</v>
      </c>
      <c r="D14" s="68">
        <v>35785</v>
      </c>
      <c r="E14" s="68">
        <f>+C14+D14</f>
        <v>618900</v>
      </c>
      <c r="F14" s="127"/>
      <c r="G14" s="127"/>
      <c r="H14" s="68"/>
    </row>
    <row r="15" spans="1:19">
      <c r="A15">
        <f t="shared" ref="A15:A22" si="0">+A14+1</f>
        <v>2</v>
      </c>
      <c r="B15" s="598" t="s">
        <v>15</v>
      </c>
      <c r="C15" s="593">
        <v>330955</v>
      </c>
      <c r="D15" s="68">
        <v>7444</v>
      </c>
      <c r="E15" s="68">
        <f>+C15+D15</f>
        <v>338399</v>
      </c>
      <c r="F15" s="127"/>
      <c r="G15" s="127"/>
      <c r="H15" s="68"/>
    </row>
    <row r="16" spans="1:19">
      <c r="A16">
        <f t="shared" si="0"/>
        <v>3</v>
      </c>
      <c r="B16" s="598" t="s">
        <v>623</v>
      </c>
      <c r="C16" s="592">
        <v>77686</v>
      </c>
      <c r="D16" s="127">
        <v>914</v>
      </c>
      <c r="E16" s="127">
        <f>+C16+D16</f>
        <v>78600</v>
      </c>
      <c r="F16" s="127"/>
      <c r="G16" s="127"/>
      <c r="H16" s="68"/>
    </row>
    <row r="17" spans="1:8">
      <c r="A17">
        <f t="shared" si="0"/>
        <v>4</v>
      </c>
      <c r="B17" s="598" t="s">
        <v>817</v>
      </c>
      <c r="C17" s="594">
        <v>2181</v>
      </c>
      <c r="D17" s="145">
        <v>-2181</v>
      </c>
      <c r="E17" s="145">
        <f>+C17+D17</f>
        <v>0</v>
      </c>
      <c r="F17" s="127"/>
      <c r="G17" s="127"/>
      <c r="H17" s="68"/>
    </row>
    <row r="18" spans="1:8">
      <c r="A18">
        <f t="shared" si="0"/>
        <v>5</v>
      </c>
      <c r="B18" s="599" t="s">
        <v>624</v>
      </c>
      <c r="C18" s="510">
        <f>SUM(C14:C17)</f>
        <v>993937</v>
      </c>
      <c r="D18" s="510">
        <f t="shared" ref="D18:E18" si="1">SUM(D14:D17)</f>
        <v>41962</v>
      </c>
      <c r="E18" s="510">
        <f t="shared" si="1"/>
        <v>1035899</v>
      </c>
      <c r="F18" s="127"/>
      <c r="G18" s="127"/>
      <c r="H18" s="68"/>
    </row>
    <row r="19" spans="1:8">
      <c r="A19">
        <f t="shared" si="0"/>
        <v>6</v>
      </c>
      <c r="B19" s="598" t="s">
        <v>818</v>
      </c>
      <c r="C19" s="510">
        <v>136443</v>
      </c>
      <c r="D19" s="68">
        <v>6748</v>
      </c>
      <c r="E19" s="68">
        <f>+C19+D19</f>
        <v>143191</v>
      </c>
      <c r="F19" s="127"/>
      <c r="G19" s="127"/>
      <c r="H19" s="68"/>
    </row>
    <row r="20" spans="1:8">
      <c r="A20">
        <f t="shared" si="0"/>
        <v>7</v>
      </c>
      <c r="B20" s="507" t="s">
        <v>459</v>
      </c>
      <c r="C20" s="511">
        <v>0</v>
      </c>
      <c r="D20" s="269">
        <v>0</v>
      </c>
      <c r="E20" s="68">
        <f>+C20+D20</f>
        <v>0</v>
      </c>
      <c r="F20" s="127"/>
      <c r="G20" s="127"/>
      <c r="H20" s="68"/>
    </row>
    <row r="21" spans="1:8">
      <c r="A21">
        <f t="shared" si="0"/>
        <v>8</v>
      </c>
      <c r="B21" s="507" t="s">
        <v>460</v>
      </c>
      <c r="C21" s="511">
        <v>0</v>
      </c>
      <c r="D21" s="269">
        <v>0</v>
      </c>
      <c r="E21" s="68">
        <f>+C21+D21</f>
        <v>0</v>
      </c>
      <c r="F21" s="127"/>
      <c r="G21" s="127"/>
      <c r="H21" s="68"/>
    </row>
    <row r="22" spans="1:8" ht="13.5" thickBot="1">
      <c r="A22">
        <f t="shared" si="0"/>
        <v>9</v>
      </c>
      <c r="B22" s="507" t="s">
        <v>356</v>
      </c>
      <c r="C22" s="597">
        <f>SUM(C18:C21)</f>
        <v>1130380</v>
      </c>
      <c r="D22" s="69">
        <f>SUM(D18:D21)</f>
        <v>48710</v>
      </c>
      <c r="E22" s="69">
        <f>SUM(E18:E21)</f>
        <v>1179090</v>
      </c>
      <c r="F22" s="127"/>
      <c r="G22" s="127"/>
      <c r="H22" s="68"/>
    </row>
    <row r="23" spans="1:8" ht="13.5" thickTop="1">
      <c r="C23" s="68"/>
      <c r="D23" s="68"/>
      <c r="E23" s="68"/>
      <c r="F23" s="127"/>
      <c r="G23" s="127"/>
      <c r="H23" s="68"/>
    </row>
    <row r="24" spans="1:8">
      <c r="B24" s="188"/>
      <c r="C24" s="68"/>
      <c r="D24" s="68"/>
      <c r="E24" s="68"/>
      <c r="F24" s="127"/>
      <c r="G24" s="127"/>
      <c r="H24" s="68"/>
    </row>
    <row r="25" spans="1:8">
      <c r="C25" s="68"/>
      <c r="D25" s="68"/>
      <c r="E25" s="68"/>
      <c r="F25" s="127"/>
      <c r="G25" s="127"/>
      <c r="H25" s="68"/>
    </row>
    <row r="26" spans="1:8">
      <c r="C26" s="68"/>
      <c r="D26" s="68"/>
      <c r="E26" s="68"/>
      <c r="F26" s="127"/>
      <c r="G26" s="127"/>
      <c r="H26" s="68"/>
    </row>
    <row r="27" spans="1:8">
      <c r="C27" s="68"/>
      <c r="D27" s="68"/>
      <c r="E27" s="68"/>
      <c r="F27" s="68"/>
      <c r="G27" s="68"/>
      <c r="H27" s="68"/>
    </row>
    <row r="28" spans="1:8">
      <c r="C28" s="68"/>
      <c r="D28" s="68"/>
      <c r="E28" s="68"/>
      <c r="F28" s="68"/>
      <c r="G28" s="68"/>
      <c r="H28" s="68"/>
    </row>
    <row r="29" spans="1:8">
      <c r="C29"/>
      <c r="D29"/>
    </row>
    <row r="30" spans="1:8">
      <c r="C30"/>
      <c r="D30"/>
    </row>
    <row r="31" spans="1:8">
      <c r="C31"/>
      <c r="D31"/>
    </row>
    <row r="32" spans="1:8">
      <c r="C32"/>
      <c r="D32"/>
    </row>
    <row r="33" spans="3:6">
      <c r="C33"/>
      <c r="D33"/>
    </row>
    <row r="34" spans="3:6">
      <c r="C34"/>
      <c r="D34"/>
    </row>
    <row r="35" spans="3:6">
      <c r="C35"/>
      <c r="D35"/>
    </row>
    <row r="36" spans="3:6">
      <c r="C36"/>
      <c r="D36"/>
    </row>
    <row r="37" spans="3:6">
      <c r="C37"/>
      <c r="D37"/>
    </row>
    <row r="38" spans="3:6">
      <c r="C38"/>
      <c r="D38"/>
    </row>
    <row r="39" spans="3:6">
      <c r="C39"/>
      <c r="D39"/>
    </row>
    <row r="40" spans="3:6">
      <c r="E40" s="5"/>
      <c r="F40" s="5"/>
    </row>
    <row r="41" spans="3:6">
      <c r="E41" s="5"/>
      <c r="F41" s="5"/>
    </row>
  </sheetData>
  <mergeCells count="3">
    <mergeCell ref="A4:F4"/>
    <mergeCell ref="A5:F5"/>
    <mergeCell ref="A6:F6"/>
  </mergeCells>
  <phoneticPr fontId="5" type="noConversion"/>
  <pageMargins left="0.75" right="0.75" top="1" bottom="1" header="0.5" footer="0.5"/>
  <pageSetup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indexed="17"/>
    <pageSetUpPr fitToPage="1"/>
  </sheetPr>
  <dimension ref="A1:Q30"/>
  <sheetViews>
    <sheetView workbookViewId="0">
      <selection activeCell="A4" sqref="A4:E4"/>
    </sheetView>
  </sheetViews>
  <sheetFormatPr defaultRowHeight="12.75"/>
  <cols>
    <col min="1" max="1" width="4.42578125" bestFit="1" customWidth="1"/>
    <col min="2" max="2" width="54.7109375" bestFit="1" customWidth="1"/>
    <col min="3" max="3" width="16.7109375" style="5" customWidth="1"/>
    <col min="4" max="4" width="14.28515625" bestFit="1" customWidth="1"/>
    <col min="5" max="5" width="11.140625" bestFit="1" customWidth="1"/>
  </cols>
  <sheetData>
    <row r="1" spans="1:17">
      <c r="D1" t="str">
        <f>'Title Input and Macros'!B7</f>
        <v>Docket No. RP16-299-000</v>
      </c>
    </row>
    <row r="2" spans="1:17">
      <c r="D2" t="s">
        <v>50</v>
      </c>
    </row>
    <row r="3" spans="1:17">
      <c r="D3" t="s">
        <v>376</v>
      </c>
    </row>
    <row r="4" spans="1:17">
      <c r="A4" s="927" t="str">
        <f>'H-4 1of3'!A4:F4</f>
        <v>Tuscarora Gas Transmission Company</v>
      </c>
      <c r="B4" s="927"/>
      <c r="C4" s="927"/>
      <c r="D4" s="927"/>
      <c r="E4" s="927"/>
    </row>
    <row r="5" spans="1:17">
      <c r="A5" s="927" t="s">
        <v>280</v>
      </c>
      <c r="B5" s="927"/>
      <c r="C5" s="927"/>
      <c r="D5" s="927"/>
      <c r="E5" s="927"/>
    </row>
    <row r="6" spans="1:17">
      <c r="A6" s="929" t="str">
        <f>'Title Input and Macros'!B9</f>
        <v>For the Twelve Months Ended December 31, 2015, As Adjusted</v>
      </c>
      <c r="B6" s="929"/>
      <c r="C6" s="929"/>
      <c r="D6" s="929"/>
      <c r="E6" s="929"/>
    </row>
    <row r="7" spans="1:17">
      <c r="A7" s="43"/>
      <c r="B7" s="43"/>
      <c r="C7" s="23"/>
      <c r="E7" s="2"/>
    </row>
    <row r="8" spans="1:17" s="2" customFormat="1">
      <c r="C8" s="23"/>
      <c r="D8" s="50"/>
      <c r="E8" s="50"/>
    </row>
    <row r="9" spans="1:17">
      <c r="A9" s="2" t="s">
        <v>352</v>
      </c>
      <c r="B9" s="2"/>
      <c r="C9" s="58" t="s">
        <v>262</v>
      </c>
      <c r="D9" s="2"/>
      <c r="E9" s="2" t="s">
        <v>356</v>
      </c>
      <c r="F9" s="2"/>
      <c r="G9" s="2"/>
      <c r="H9" s="2"/>
      <c r="I9" s="2"/>
      <c r="J9" s="2"/>
      <c r="K9" s="2"/>
      <c r="L9" s="2"/>
      <c r="M9" s="2"/>
      <c r="N9" s="2"/>
    </row>
    <row r="10" spans="1:17">
      <c r="A10" s="3" t="s">
        <v>353</v>
      </c>
      <c r="B10" s="3" t="s">
        <v>28</v>
      </c>
      <c r="C10" s="60" t="s">
        <v>38</v>
      </c>
      <c r="D10" s="3" t="s">
        <v>401</v>
      </c>
      <c r="E10" s="3" t="s">
        <v>357</v>
      </c>
      <c r="F10" s="3"/>
      <c r="G10" s="3"/>
      <c r="H10" s="3"/>
      <c r="I10" s="3"/>
      <c r="J10" s="3"/>
      <c r="K10" s="3"/>
      <c r="L10" s="3"/>
      <c r="M10" s="3"/>
      <c r="N10" s="3"/>
      <c r="O10" s="3"/>
      <c r="P10" s="2"/>
      <c r="Q10" s="2"/>
    </row>
    <row r="11" spans="1:17">
      <c r="B11" s="2" t="s">
        <v>361</v>
      </c>
      <c r="C11" s="23" t="s">
        <v>362</v>
      </c>
      <c r="D11" s="23" t="s">
        <v>366</v>
      </c>
      <c r="E11" s="23" t="s">
        <v>363</v>
      </c>
    </row>
    <row r="12" spans="1:17">
      <c r="B12" s="2"/>
      <c r="C12" s="23" t="s">
        <v>365</v>
      </c>
      <c r="D12" s="23" t="s">
        <v>365</v>
      </c>
      <c r="E12" s="23" t="s">
        <v>365</v>
      </c>
    </row>
    <row r="13" spans="1:17">
      <c r="A13">
        <v>1</v>
      </c>
      <c r="B13" s="600" t="s">
        <v>12</v>
      </c>
      <c r="C13"/>
    </row>
    <row r="14" spans="1:17">
      <c r="A14">
        <f t="shared" ref="A14:A26" si="0">A13+1</f>
        <v>2</v>
      </c>
      <c r="B14" s="507" t="s">
        <v>281</v>
      </c>
      <c r="C14" s="68">
        <f>'H-4 1of3'!C14</f>
        <v>583115</v>
      </c>
      <c r="D14" s="266">
        <v>35785</v>
      </c>
      <c r="E14" s="68">
        <f>+C14+D14</f>
        <v>618900</v>
      </c>
    </row>
    <row r="15" spans="1:17">
      <c r="A15">
        <f>A13+1</f>
        <v>2</v>
      </c>
      <c r="B15" s="507" t="s">
        <v>755</v>
      </c>
      <c r="C15" s="510">
        <v>136443</v>
      </c>
      <c r="D15" s="266">
        <v>6748</v>
      </c>
      <c r="E15" s="68">
        <f>+C15+D15</f>
        <v>143191</v>
      </c>
    </row>
    <row r="16" spans="1:17" ht="13.5" thickBot="1">
      <c r="A16">
        <f t="shared" si="0"/>
        <v>3</v>
      </c>
      <c r="B16" s="507" t="s">
        <v>356</v>
      </c>
      <c r="C16" s="69">
        <f>C14+C15</f>
        <v>719558</v>
      </c>
      <c r="D16" s="69">
        <f>D14+D15</f>
        <v>42533</v>
      </c>
      <c r="E16" s="69">
        <f>SUM(E14:E15)</f>
        <v>762091</v>
      </c>
    </row>
    <row r="17" spans="1:5" ht="13.5" thickTop="1">
      <c r="A17">
        <f t="shared" si="0"/>
        <v>4</v>
      </c>
      <c r="B17" s="600" t="s">
        <v>13</v>
      </c>
      <c r="C17" s="68"/>
      <c r="D17" s="68"/>
      <c r="E17" s="68"/>
    </row>
    <row r="18" spans="1:5">
      <c r="A18">
        <f t="shared" si="0"/>
        <v>5</v>
      </c>
      <c r="B18" s="507" t="s">
        <v>281</v>
      </c>
      <c r="C18" s="68">
        <f>'H-4 1of3'!C15</f>
        <v>330955</v>
      </c>
      <c r="D18" s="266">
        <v>7444</v>
      </c>
      <c r="E18" s="68">
        <f>+C18+D18</f>
        <v>338399</v>
      </c>
    </row>
    <row r="19" spans="1:5" ht="13.5" thickBot="1">
      <c r="A19">
        <f t="shared" si="0"/>
        <v>6</v>
      </c>
      <c r="B19" s="507" t="s">
        <v>356</v>
      </c>
      <c r="C19" s="69">
        <f>SUM(C17:C18)</f>
        <v>330955</v>
      </c>
      <c r="D19" s="69">
        <f>SUM(D17:D18)</f>
        <v>7444</v>
      </c>
      <c r="E19" s="69">
        <f>SUM(E17:E18)</f>
        <v>338399</v>
      </c>
    </row>
    <row r="20" spans="1:5" ht="13.5" thickTop="1">
      <c r="A20">
        <f t="shared" si="0"/>
        <v>7</v>
      </c>
      <c r="B20" s="600" t="s">
        <v>48</v>
      </c>
      <c r="C20" s="68"/>
      <c r="D20" s="68"/>
      <c r="E20" s="68"/>
    </row>
    <row r="21" spans="1:5">
      <c r="A21">
        <f t="shared" si="0"/>
        <v>8</v>
      </c>
      <c r="B21" s="507" t="s">
        <v>281</v>
      </c>
      <c r="C21" s="68">
        <f>'H-4 1of3'!C16</f>
        <v>77686</v>
      </c>
      <c r="D21" s="266">
        <v>914</v>
      </c>
      <c r="E21" s="68">
        <f>+C21+D21</f>
        <v>78600</v>
      </c>
    </row>
    <row r="22" spans="1:5">
      <c r="A22">
        <f t="shared" si="0"/>
        <v>9</v>
      </c>
      <c r="B22" s="507" t="s">
        <v>356</v>
      </c>
      <c r="C22" s="147">
        <f>SUM(C21:C21)</f>
        <v>77686</v>
      </c>
      <c r="D22" s="147">
        <f>SUM(D21:D21)</f>
        <v>914</v>
      </c>
      <c r="E22" s="147">
        <f>SUM(E21:E21)</f>
        <v>78600</v>
      </c>
    </row>
    <row r="23" spans="1:5">
      <c r="A23">
        <f t="shared" si="0"/>
        <v>10</v>
      </c>
      <c r="B23" s="600" t="s">
        <v>819</v>
      </c>
      <c r="C23" s="147"/>
      <c r="D23" s="147"/>
      <c r="E23" s="147"/>
    </row>
    <row r="24" spans="1:5">
      <c r="A24">
        <f t="shared" si="0"/>
        <v>11</v>
      </c>
      <c r="B24" s="507" t="s">
        <v>281</v>
      </c>
      <c r="C24" s="601">
        <v>2181</v>
      </c>
      <c r="D24" s="145">
        <v>-2181</v>
      </c>
      <c r="E24" s="68">
        <f>+C24+D24</f>
        <v>0</v>
      </c>
    </row>
    <row r="25" spans="1:5">
      <c r="A25">
        <f t="shared" si="0"/>
        <v>12</v>
      </c>
      <c r="B25" s="507" t="s">
        <v>356</v>
      </c>
      <c r="C25" s="602">
        <f>SUM(C23:C24)</f>
        <v>2181</v>
      </c>
      <c r="D25" s="602">
        <f>SUM(D23:D24)</f>
        <v>-2181</v>
      </c>
      <c r="E25" s="144">
        <f>SUM(E24:E24)</f>
        <v>0</v>
      </c>
    </row>
    <row r="26" spans="1:5" ht="13.5" thickBot="1">
      <c r="A26">
        <f t="shared" si="0"/>
        <v>13</v>
      </c>
      <c r="B26" s="583" t="s">
        <v>49</v>
      </c>
      <c r="C26" s="603">
        <f>+C16+C19+C22+C25</f>
        <v>1130380</v>
      </c>
      <c r="D26" s="603">
        <f t="shared" ref="D26:E26" si="1">+D16+D19+D22+D25</f>
        <v>48710</v>
      </c>
      <c r="E26" s="603">
        <f t="shared" si="1"/>
        <v>1179090</v>
      </c>
    </row>
    <row r="27" spans="1:5" ht="13.5" thickTop="1">
      <c r="C27" s="68"/>
      <c r="D27" s="68"/>
      <c r="E27" s="68"/>
    </row>
    <row r="28" spans="1:5">
      <c r="C28" s="68"/>
      <c r="D28" s="68"/>
      <c r="E28" s="68"/>
    </row>
    <row r="29" spans="1:5">
      <c r="C29" s="68"/>
      <c r="D29" s="68"/>
      <c r="E29" s="68"/>
    </row>
    <row r="30" spans="1:5">
      <c r="C30" s="68"/>
      <c r="D30" s="68"/>
      <c r="E30" s="68"/>
    </row>
  </sheetData>
  <mergeCells count="3">
    <mergeCell ref="A4:E4"/>
    <mergeCell ref="A5:E5"/>
    <mergeCell ref="A6:E6"/>
  </mergeCells>
  <phoneticPr fontId="5" type="noConversion"/>
  <pageMargins left="0.75" right="0.75" top="1" bottom="1" header="0.5" footer="0.5"/>
  <pageSetup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tabColor indexed="13"/>
    <pageSetUpPr fitToPage="1"/>
  </sheetPr>
  <dimension ref="A1:Q35"/>
  <sheetViews>
    <sheetView workbookViewId="0">
      <selection activeCell="C14" sqref="C14:C20"/>
    </sheetView>
  </sheetViews>
  <sheetFormatPr defaultRowHeight="12.75"/>
  <cols>
    <col min="1" max="1" width="4.42578125" bestFit="1" customWidth="1"/>
    <col min="2" max="2" width="65.28515625" bestFit="1" customWidth="1"/>
    <col min="3" max="3" width="16.7109375" style="5" customWidth="1"/>
    <col min="4" max="4" width="14.28515625" bestFit="1" customWidth="1"/>
    <col min="5" max="5" width="15.140625" customWidth="1"/>
  </cols>
  <sheetData>
    <row r="1" spans="1:17">
      <c r="D1" t="str">
        <f>'Title Input and Macros'!B7</f>
        <v>Docket No. RP16-299-000</v>
      </c>
    </row>
    <row r="2" spans="1:17">
      <c r="D2" t="s">
        <v>50</v>
      </c>
    </row>
    <row r="3" spans="1:17">
      <c r="D3" t="s">
        <v>381</v>
      </c>
    </row>
    <row r="4" spans="1:17">
      <c r="A4" s="927" t="str">
        <f>'H-4 2of3'!A4:E4</f>
        <v>Tuscarora Gas Transmission Company</v>
      </c>
      <c r="B4" s="927"/>
      <c r="C4" s="927"/>
      <c r="D4" s="927"/>
    </row>
    <row r="5" spans="1:17">
      <c r="A5" s="927" t="s">
        <v>51</v>
      </c>
      <c r="B5" s="927"/>
      <c r="C5" s="927"/>
      <c r="D5" s="927"/>
    </row>
    <row r="6" spans="1:17">
      <c r="A6" s="929" t="str">
        <f>'Title Input and Macros'!B9</f>
        <v>For the Twelve Months Ended December 31, 2015, As Adjusted</v>
      </c>
      <c r="B6" s="929"/>
      <c r="C6" s="929"/>
      <c r="D6" s="929"/>
      <c r="E6" s="2"/>
    </row>
    <row r="7" spans="1:17">
      <c r="A7" s="43"/>
      <c r="B7" s="43"/>
      <c r="C7" s="23"/>
      <c r="E7" s="2"/>
    </row>
    <row r="8" spans="1:17" s="2" customFormat="1">
      <c r="C8" s="23"/>
      <c r="D8" s="50"/>
      <c r="E8" s="50"/>
    </row>
    <row r="9" spans="1:17">
      <c r="A9" s="2" t="s">
        <v>352</v>
      </c>
      <c r="B9" s="2"/>
      <c r="C9" s="58"/>
      <c r="D9" s="50"/>
      <c r="E9" s="50"/>
      <c r="F9" s="2"/>
      <c r="G9" s="2"/>
      <c r="H9" s="2"/>
      <c r="I9" s="2"/>
      <c r="J9" s="2"/>
      <c r="K9" s="2"/>
      <c r="L9" s="2"/>
      <c r="M9" s="2"/>
      <c r="N9" s="2"/>
    </row>
    <row r="10" spans="1:17">
      <c r="A10" s="3" t="s">
        <v>353</v>
      </c>
      <c r="B10" s="3" t="s">
        <v>62</v>
      </c>
      <c r="C10" s="60" t="s">
        <v>262</v>
      </c>
      <c r="D10" s="50"/>
      <c r="E10" s="50"/>
      <c r="F10" s="3"/>
      <c r="G10" s="3"/>
      <c r="H10" s="3"/>
      <c r="I10" s="3"/>
      <c r="J10" s="3"/>
      <c r="K10" s="3"/>
      <c r="L10" s="3"/>
      <c r="M10" s="3"/>
      <c r="N10" s="3"/>
      <c r="O10" s="3"/>
      <c r="P10" s="2"/>
      <c r="Q10" s="2"/>
    </row>
    <row r="11" spans="1:17">
      <c r="B11" s="2" t="s">
        <v>361</v>
      </c>
      <c r="C11" s="23" t="s">
        <v>362</v>
      </c>
      <c r="D11" s="50"/>
      <c r="E11" s="50"/>
    </row>
    <row r="12" spans="1:17">
      <c r="B12" s="2"/>
      <c r="C12" s="23" t="s">
        <v>365</v>
      </c>
      <c r="D12" s="202"/>
      <c r="E12" s="50"/>
    </row>
    <row r="13" spans="1:17">
      <c r="A13">
        <v>1</v>
      </c>
      <c r="B13" s="61" t="s">
        <v>52</v>
      </c>
      <c r="C13"/>
      <c r="D13" s="202"/>
      <c r="E13" s="50"/>
    </row>
    <row r="14" spans="1:17">
      <c r="A14">
        <f t="shared" ref="A14:A19" si="0">A13+1</f>
        <v>2</v>
      </c>
      <c r="B14" s="4" t="s">
        <v>461</v>
      </c>
      <c r="C14" s="68">
        <f>'H-4 1of3'!E20</f>
        <v>0</v>
      </c>
      <c r="D14" s="234"/>
      <c r="E14" s="202"/>
      <c r="F14" s="72"/>
      <c r="G14" s="72"/>
    </row>
    <row r="15" spans="1:17">
      <c r="A15">
        <f t="shared" si="0"/>
        <v>3</v>
      </c>
      <c r="B15" s="63" t="s">
        <v>53</v>
      </c>
      <c r="C15" s="68">
        <f>'H-4 1of3'!C20</f>
        <v>0</v>
      </c>
      <c r="D15" s="234"/>
      <c r="E15" s="202"/>
      <c r="F15" s="72"/>
      <c r="G15" s="72"/>
    </row>
    <row r="16" spans="1:17" ht="13.5" thickBot="1">
      <c r="A16">
        <f t="shared" si="0"/>
        <v>4</v>
      </c>
      <c r="B16" s="19" t="s">
        <v>55</v>
      </c>
      <c r="C16" s="69">
        <f>+C14-C15</f>
        <v>0</v>
      </c>
      <c r="D16" s="202"/>
      <c r="E16" s="202"/>
      <c r="F16" s="72"/>
      <c r="G16" s="72"/>
    </row>
    <row r="17" spans="1:7" ht="13.5" thickTop="1">
      <c r="A17">
        <f t="shared" si="0"/>
        <v>5</v>
      </c>
      <c r="B17" s="51" t="s">
        <v>56</v>
      </c>
      <c r="C17" s="68"/>
      <c r="D17" s="202"/>
      <c r="E17" s="202"/>
      <c r="F17" s="72"/>
      <c r="G17" s="72"/>
    </row>
    <row r="18" spans="1:7">
      <c r="A18">
        <f t="shared" si="0"/>
        <v>6</v>
      </c>
      <c r="B18" s="19" t="s">
        <v>462</v>
      </c>
      <c r="C18" s="68">
        <f>'H-4 1of3'!E21</f>
        <v>0</v>
      </c>
      <c r="D18" s="234"/>
      <c r="E18" s="202"/>
      <c r="F18" s="72"/>
      <c r="G18" s="72"/>
    </row>
    <row r="19" spans="1:7">
      <c r="A19">
        <f t="shared" si="0"/>
        <v>7</v>
      </c>
      <c r="B19" s="19" t="s">
        <v>57</v>
      </c>
      <c r="C19" s="68">
        <f>'H-4 1of3'!C21</f>
        <v>0</v>
      </c>
      <c r="D19" s="234"/>
      <c r="E19" s="202"/>
      <c r="F19" s="72"/>
      <c r="G19" s="72"/>
    </row>
    <row r="20" spans="1:7" ht="13.5" thickBot="1">
      <c r="A20">
        <f>A19+1</f>
        <v>8</v>
      </c>
      <c r="B20" s="19" t="s">
        <v>55</v>
      </c>
      <c r="C20" s="69">
        <f>+C18-C19</f>
        <v>0</v>
      </c>
      <c r="D20" s="202"/>
      <c r="E20" s="202"/>
      <c r="F20" s="72"/>
      <c r="G20" s="72"/>
    </row>
    <row r="21" spans="1:7" s="73" customFormat="1" ht="13.5" thickTop="1">
      <c r="B21" s="61"/>
      <c r="C21" s="12"/>
      <c r="D21" s="50"/>
      <c r="E21" s="202"/>
      <c r="F21" s="201"/>
      <c r="G21" s="201"/>
    </row>
    <row r="22" spans="1:7" s="73" customFormat="1">
      <c r="B22" s="62"/>
      <c r="C22" s="12"/>
      <c r="D22" s="50"/>
      <c r="E22" s="50"/>
    </row>
    <row r="23" spans="1:7" s="73" customFormat="1">
      <c r="B23" s="131" t="s">
        <v>11</v>
      </c>
      <c r="C23" s="12"/>
      <c r="D23" s="50"/>
      <c r="E23" s="50"/>
    </row>
    <row r="24" spans="1:7" s="73" customFormat="1">
      <c r="B24" s="62"/>
      <c r="C24" s="12"/>
      <c r="D24" s="50"/>
      <c r="E24" s="50"/>
    </row>
    <row r="25" spans="1:7" s="73" customFormat="1">
      <c r="B25" s="61"/>
      <c r="C25" s="12"/>
      <c r="D25" s="50"/>
      <c r="E25" s="50"/>
    </row>
    <row r="26" spans="1:7" s="73" customFormat="1">
      <c r="B26" s="62"/>
      <c r="C26" s="12"/>
      <c r="D26" s="50"/>
      <c r="E26" s="50"/>
    </row>
    <row r="27" spans="1:7" s="73" customFormat="1">
      <c r="B27" s="62"/>
      <c r="C27" s="12"/>
      <c r="D27" s="50"/>
      <c r="E27" s="50"/>
    </row>
    <row r="28" spans="1:7" s="73" customFormat="1">
      <c r="B28" s="62"/>
      <c r="C28" s="12"/>
      <c r="D28" s="50"/>
      <c r="E28" s="50"/>
    </row>
    <row r="29" spans="1:7">
      <c r="D29" s="50"/>
      <c r="E29" s="50"/>
    </row>
    <row r="30" spans="1:7">
      <c r="B30" s="42"/>
      <c r="D30" s="50"/>
      <c r="E30" s="50"/>
    </row>
    <row r="31" spans="1:7">
      <c r="D31" s="50"/>
      <c r="E31" s="50"/>
    </row>
    <row r="32" spans="1:7">
      <c r="D32" s="50"/>
      <c r="E32" s="50"/>
    </row>
    <row r="33" spans="4:5">
      <c r="D33" s="50"/>
      <c r="E33" s="50"/>
    </row>
    <row r="34" spans="4:5">
      <c r="D34" s="50"/>
      <c r="E34" s="50"/>
    </row>
    <row r="35" spans="4:5">
      <c r="D35" s="50"/>
      <c r="E35" s="50"/>
    </row>
  </sheetData>
  <mergeCells count="3">
    <mergeCell ref="A4:D4"/>
    <mergeCell ref="A5:D5"/>
    <mergeCell ref="A6:D6"/>
  </mergeCells>
  <phoneticPr fontId="5" type="noConversion"/>
  <pageMargins left="0.75" right="0.75" top="1" bottom="1" header="0.5" footer="0.5"/>
  <pageSetup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10"/>
  </sheetPr>
  <dimension ref="A1:F12"/>
  <sheetViews>
    <sheetView zoomScaleNormal="100" workbookViewId="0">
      <selection activeCell="A5" sqref="A5:F5"/>
    </sheetView>
  </sheetViews>
  <sheetFormatPr defaultRowHeight="12.75"/>
  <cols>
    <col min="2" max="2" width="42" customWidth="1"/>
  </cols>
  <sheetData>
    <row r="1" spans="1:6">
      <c r="C1" s="2"/>
      <c r="E1" t="str">
        <f>A!D1</f>
        <v>Docket No. RP16-299-000</v>
      </c>
    </row>
    <row r="2" spans="1:6">
      <c r="C2" s="2"/>
      <c r="E2" t="s">
        <v>617</v>
      </c>
    </row>
    <row r="3" spans="1:6">
      <c r="C3" s="2"/>
    </row>
    <row r="4" spans="1:6">
      <c r="A4" s="927"/>
      <c r="B4" s="927"/>
      <c r="C4" s="927"/>
      <c r="D4" s="927"/>
      <c r="E4" s="927"/>
    </row>
    <row r="5" spans="1:6">
      <c r="A5" s="927" t="str">
        <f>'Sched H-4 3of3'!A4:D4</f>
        <v>Tuscarora Gas Transmission Company</v>
      </c>
      <c r="B5" s="927"/>
      <c r="C5" s="927"/>
      <c r="D5" s="927"/>
      <c r="E5" s="927"/>
      <c r="F5" s="927"/>
    </row>
    <row r="6" spans="1:6">
      <c r="A6" s="927" t="s">
        <v>618</v>
      </c>
      <c r="B6" s="927"/>
      <c r="C6" s="927"/>
      <c r="D6" s="927"/>
      <c r="E6" s="927"/>
      <c r="F6" s="927"/>
    </row>
    <row r="9" spans="1:6">
      <c r="A9" t="s">
        <v>712</v>
      </c>
    </row>
    <row r="10" spans="1:6">
      <c r="A10" t="s">
        <v>619</v>
      </c>
    </row>
    <row r="12" spans="1:6">
      <c r="A12" t="s">
        <v>620</v>
      </c>
    </row>
  </sheetData>
  <mergeCells count="3">
    <mergeCell ref="A4:E4"/>
    <mergeCell ref="A5:F5"/>
    <mergeCell ref="A6:F6"/>
  </mergeCells>
  <phoneticPr fontId="5" type="noConversion"/>
  <pageMargins left="0.75" right="0.75" top="1" bottom="1" header="0.5" footer="0.5"/>
  <pageSetup scale="93"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tabColor indexed="13"/>
    <pageSetUpPr fitToPage="1"/>
  </sheetPr>
  <dimension ref="A1:D22"/>
  <sheetViews>
    <sheetView workbookViewId="0">
      <selection activeCell="A4" sqref="A4:D4"/>
    </sheetView>
  </sheetViews>
  <sheetFormatPr defaultRowHeight="12.75"/>
  <cols>
    <col min="1" max="1" width="4.42578125" bestFit="1" customWidth="1"/>
    <col min="2" max="2" width="49.42578125" bestFit="1" customWidth="1"/>
    <col min="3" max="3" width="9.28515625" style="2" bestFit="1" customWidth="1"/>
    <col min="4" max="4" width="12" customWidth="1"/>
  </cols>
  <sheetData>
    <row r="1" spans="1:4">
      <c r="D1" t="str">
        <f>A!D1</f>
        <v>Docket No. RP16-299-000</v>
      </c>
    </row>
    <row r="2" spans="1:4">
      <c r="D2" t="s">
        <v>594</v>
      </c>
    </row>
    <row r="4" spans="1:4">
      <c r="A4" s="927" t="str">
        <f>'I-1'!A5:F5</f>
        <v>Tuscarora Gas Transmission Company</v>
      </c>
      <c r="B4" s="927"/>
      <c r="C4" s="927"/>
      <c r="D4" s="927"/>
    </row>
    <row r="5" spans="1:4">
      <c r="A5" s="927" t="s">
        <v>621</v>
      </c>
      <c r="B5" s="927"/>
      <c r="C5" s="927"/>
      <c r="D5" s="927"/>
    </row>
    <row r="6" spans="1:4">
      <c r="A6" s="927" t="str">
        <f>A!A6:D6</f>
        <v>For the Twelve Months Ended December 31, 2015, As Adjusted</v>
      </c>
      <c r="B6" s="927"/>
      <c r="C6" s="927"/>
      <c r="D6" s="927"/>
    </row>
    <row r="7" spans="1:4">
      <c r="A7" s="2"/>
      <c r="B7" s="2"/>
      <c r="D7" s="2"/>
    </row>
    <row r="9" spans="1:4">
      <c r="C9" s="2" t="s">
        <v>174</v>
      </c>
      <c r="D9" s="604" t="s">
        <v>356</v>
      </c>
    </row>
    <row r="10" spans="1:4">
      <c r="A10" t="s">
        <v>352</v>
      </c>
      <c r="C10" s="2" t="s">
        <v>395</v>
      </c>
      <c r="D10" s="604" t="s">
        <v>43</v>
      </c>
    </row>
    <row r="11" spans="1:4">
      <c r="A11" s="1" t="s">
        <v>353</v>
      </c>
      <c r="B11" s="1" t="s">
        <v>62</v>
      </c>
      <c r="C11" s="3" t="s">
        <v>355</v>
      </c>
      <c r="D11" s="3" t="s">
        <v>175</v>
      </c>
    </row>
    <row r="12" spans="1:4">
      <c r="B12" s="2" t="s">
        <v>361</v>
      </c>
      <c r="C12" s="2" t="s">
        <v>362</v>
      </c>
      <c r="D12" s="2" t="s">
        <v>364</v>
      </c>
    </row>
    <row r="13" spans="1:4">
      <c r="D13" s="2" t="s">
        <v>365</v>
      </c>
    </row>
    <row r="14" spans="1:4">
      <c r="A14">
        <v>1</v>
      </c>
      <c r="B14" s="4" t="s">
        <v>82</v>
      </c>
      <c r="C14" s="2" t="s">
        <v>369</v>
      </c>
      <c r="D14" s="68">
        <f>A!D14</f>
        <v>8229152.1264389977</v>
      </c>
    </row>
    <row r="15" spans="1:4">
      <c r="A15">
        <f t="shared" ref="A15:A20" si="0">+A14+1</f>
        <v>2</v>
      </c>
      <c r="B15" t="s">
        <v>84</v>
      </c>
      <c r="C15" s="2" t="s">
        <v>370</v>
      </c>
      <c r="D15" s="68">
        <f>A!D15</f>
        <v>5727661.4714130005</v>
      </c>
    </row>
    <row r="16" spans="1:4" hidden="1">
      <c r="A16">
        <f t="shared" si="0"/>
        <v>3</v>
      </c>
      <c r="B16" t="s">
        <v>347</v>
      </c>
      <c r="C16" s="2" t="s">
        <v>348</v>
      </c>
      <c r="D16" s="68">
        <f>A!D16</f>
        <v>0</v>
      </c>
    </row>
    <row r="17" spans="1:4">
      <c r="A17">
        <v>3</v>
      </c>
      <c r="B17" t="s">
        <v>83</v>
      </c>
      <c r="C17" s="2" t="s">
        <v>374</v>
      </c>
      <c r="D17" s="68">
        <f>A!D17</f>
        <v>8232413.5835289722</v>
      </c>
    </row>
    <row r="18" spans="1:4">
      <c r="A18">
        <f t="shared" si="0"/>
        <v>4</v>
      </c>
      <c r="B18" t="s">
        <v>72</v>
      </c>
      <c r="C18" s="2" t="s">
        <v>375</v>
      </c>
      <c r="D18" s="68">
        <f>A!D18</f>
        <v>4610026.5621045781</v>
      </c>
    </row>
    <row r="19" spans="1:4">
      <c r="A19">
        <f t="shared" si="0"/>
        <v>5</v>
      </c>
      <c r="B19" t="s">
        <v>454</v>
      </c>
      <c r="C19" s="2" t="s">
        <v>371</v>
      </c>
      <c r="D19" s="68">
        <f>A!D19</f>
        <v>1179090</v>
      </c>
    </row>
    <row r="20" spans="1:4" hidden="1">
      <c r="A20">
        <f t="shared" si="0"/>
        <v>6</v>
      </c>
      <c r="B20" t="str">
        <f>A!B20</f>
        <v>Revenue Credits</v>
      </c>
      <c r="C20" s="2">
        <f>A!C20</f>
        <v>0</v>
      </c>
      <c r="D20" s="68">
        <f>A!D20</f>
        <v>0</v>
      </c>
    </row>
    <row r="21" spans="1:4" ht="13.5" thickBot="1">
      <c r="A21">
        <v>6</v>
      </c>
      <c r="B21" t="s">
        <v>176</v>
      </c>
      <c r="D21" s="69">
        <f>SUM(D14:D20)</f>
        <v>27978343.743485551</v>
      </c>
    </row>
    <row r="22" spans="1:4" ht="13.5" thickTop="1"/>
  </sheetData>
  <mergeCells count="3">
    <mergeCell ref="A4:D4"/>
    <mergeCell ref="A5:D5"/>
    <mergeCell ref="A6:D6"/>
  </mergeCells>
  <phoneticPr fontId="5" type="noConversion"/>
  <pageMargins left="0.75" right="0.75" top="1" bottom="1" header="0.5" footer="0.5"/>
  <pageSetup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tabColor indexed="13"/>
    <pageSetUpPr fitToPage="1"/>
  </sheetPr>
  <dimension ref="A1:G23"/>
  <sheetViews>
    <sheetView workbookViewId="0">
      <selection activeCell="A4" sqref="A4:D4"/>
    </sheetView>
  </sheetViews>
  <sheetFormatPr defaultRowHeight="12.75"/>
  <cols>
    <col min="1" max="1" width="4.42578125" bestFit="1" customWidth="1"/>
    <col min="2" max="2" width="49.42578125" bestFit="1" customWidth="1"/>
    <col min="3" max="3" width="9.28515625" style="2" bestFit="1" customWidth="1"/>
    <col min="4" max="4" width="16.140625" bestFit="1" customWidth="1"/>
    <col min="6" max="6" width="12" bestFit="1" customWidth="1"/>
    <col min="7" max="7" width="10.85546875" bestFit="1" customWidth="1"/>
  </cols>
  <sheetData>
    <row r="1" spans="1:7">
      <c r="D1" t="str">
        <f>A!D1</f>
        <v>Docket No. RP16-299-000</v>
      </c>
    </row>
    <row r="2" spans="1:7">
      <c r="D2" t="s">
        <v>595</v>
      </c>
    </row>
    <row r="4" spans="1:7">
      <c r="A4" s="927" t="str">
        <f>'I-1(a)1'!A4:D4</f>
        <v>Tuscarora Gas Transmission Company</v>
      </c>
      <c r="B4" s="927"/>
      <c r="C4" s="927"/>
      <c r="D4" s="927"/>
    </row>
    <row r="5" spans="1:7">
      <c r="A5" s="927" t="s">
        <v>713</v>
      </c>
      <c r="B5" s="927"/>
      <c r="C5" s="927"/>
      <c r="D5" s="927"/>
    </row>
    <row r="6" spans="1:7">
      <c r="A6" s="927" t="s">
        <v>714</v>
      </c>
      <c r="B6" s="927"/>
      <c r="C6" s="927"/>
      <c r="D6" s="927"/>
    </row>
    <row r="7" spans="1:7">
      <c r="A7" s="2"/>
      <c r="B7" s="2"/>
      <c r="D7" s="2"/>
    </row>
    <row r="8" spans="1:7">
      <c r="A8" s="927"/>
      <c r="B8" s="927"/>
      <c r="C8" s="927"/>
      <c r="D8" s="927"/>
    </row>
    <row r="9" spans="1:7">
      <c r="C9" s="2" t="s">
        <v>174</v>
      </c>
      <c r="D9" s="159"/>
    </row>
    <row r="10" spans="1:7">
      <c r="A10" t="s">
        <v>352</v>
      </c>
      <c r="C10" s="2" t="s">
        <v>395</v>
      </c>
      <c r="D10" s="2" t="s">
        <v>75</v>
      </c>
    </row>
    <row r="11" spans="1:7">
      <c r="A11" s="1" t="s">
        <v>353</v>
      </c>
      <c r="B11" s="1" t="s">
        <v>354</v>
      </c>
      <c r="C11" s="3" t="s">
        <v>355</v>
      </c>
      <c r="D11" s="3" t="s">
        <v>358</v>
      </c>
    </row>
    <row r="12" spans="1:7">
      <c r="B12" s="2" t="s">
        <v>361</v>
      </c>
      <c r="C12" s="2" t="s">
        <v>362</v>
      </c>
      <c r="D12" s="2" t="s">
        <v>363</v>
      </c>
    </row>
    <row r="13" spans="1:7">
      <c r="B13" s="2"/>
      <c r="D13" s="2" t="s">
        <v>365</v>
      </c>
    </row>
    <row r="14" spans="1:7">
      <c r="A14">
        <v>1</v>
      </c>
      <c r="B14" s="4" t="s">
        <v>82</v>
      </c>
      <c r="C14" s="2" t="s">
        <v>369</v>
      </c>
      <c r="D14" s="68">
        <f>'I-1(a)1'!D14</f>
        <v>8229152.1264389977</v>
      </c>
      <c r="G14" s="68"/>
    </row>
    <row r="15" spans="1:7">
      <c r="A15">
        <f t="shared" ref="A15:A20" si="0">+A14+1</f>
        <v>2</v>
      </c>
      <c r="B15" t="s">
        <v>84</v>
      </c>
      <c r="C15" s="2" t="s">
        <v>370</v>
      </c>
      <c r="D15" s="68">
        <f>'I-1(a)1'!D15</f>
        <v>5727661.4714130005</v>
      </c>
      <c r="G15" s="68"/>
    </row>
    <row r="16" spans="1:7" hidden="1">
      <c r="A16">
        <f t="shared" si="0"/>
        <v>3</v>
      </c>
      <c r="B16" t="s">
        <v>347</v>
      </c>
      <c r="C16" s="2" t="s">
        <v>348</v>
      </c>
      <c r="D16" s="68">
        <f>'I-1(a)1'!D16</f>
        <v>0</v>
      </c>
      <c r="G16" s="68"/>
    </row>
    <row r="17" spans="1:7">
      <c r="A17">
        <v>3</v>
      </c>
      <c r="B17" t="s">
        <v>83</v>
      </c>
      <c r="C17" s="2" t="s">
        <v>374</v>
      </c>
      <c r="D17" s="68">
        <f>'I-1(a)1'!D17</f>
        <v>8232413.5835289722</v>
      </c>
      <c r="G17" s="68"/>
    </row>
    <row r="18" spans="1:7">
      <c r="A18">
        <f t="shared" si="0"/>
        <v>4</v>
      </c>
      <c r="B18" t="s">
        <v>72</v>
      </c>
      <c r="C18" s="2" t="s">
        <v>375</v>
      </c>
      <c r="D18" s="68">
        <f>'I-1(a)1'!D18</f>
        <v>4610026.5621045781</v>
      </c>
      <c r="G18" s="68"/>
    </row>
    <row r="19" spans="1:7">
      <c r="A19">
        <f t="shared" si="0"/>
        <v>5</v>
      </c>
      <c r="B19" t="s">
        <v>454</v>
      </c>
      <c r="C19" s="2" t="s">
        <v>371</v>
      </c>
      <c r="D19" s="68">
        <f>'I-1(a)1'!D19</f>
        <v>1179090</v>
      </c>
      <c r="G19" s="68"/>
    </row>
    <row r="20" spans="1:7" hidden="1">
      <c r="A20">
        <f t="shared" si="0"/>
        <v>6</v>
      </c>
      <c r="B20" t="str">
        <f>'I-1(a)1'!B20</f>
        <v>Revenue Credits</v>
      </c>
      <c r="C20" s="2">
        <f>'I-1(a)1'!C20</f>
        <v>0</v>
      </c>
      <c r="D20" s="68">
        <f>'I-1(a)1'!D20</f>
        <v>0</v>
      </c>
      <c r="G20" s="68"/>
    </row>
    <row r="21" spans="1:7" ht="13.5" thickBot="1">
      <c r="A21">
        <v>6</v>
      </c>
      <c r="B21" t="s">
        <v>176</v>
      </c>
      <c r="D21" s="137">
        <f>SUM(D14:D20)</f>
        <v>27978343.743485551</v>
      </c>
    </row>
    <row r="22" spans="1:7" s="73" customFormat="1" ht="13.5" thickTop="1">
      <c r="C22" s="50"/>
    </row>
    <row r="23" spans="1:7" s="73" customFormat="1">
      <c r="C23" s="50"/>
    </row>
  </sheetData>
  <mergeCells count="4">
    <mergeCell ref="A8:D8"/>
    <mergeCell ref="A5:D5"/>
    <mergeCell ref="A4:D4"/>
    <mergeCell ref="A6:D6"/>
  </mergeCells>
  <phoneticPr fontId="5" type="noConversion"/>
  <pageMargins left="0.75" right="0.75" top="1" bottom="1" header="0.5" footer="0.5"/>
  <pageSetup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tabColor indexed="10"/>
    <pageSetUpPr fitToPage="1"/>
  </sheetPr>
  <dimension ref="A1:Q39"/>
  <sheetViews>
    <sheetView workbookViewId="0">
      <selection activeCell="A4" sqref="A4:D4"/>
    </sheetView>
  </sheetViews>
  <sheetFormatPr defaultRowHeight="12.75"/>
  <cols>
    <col min="1" max="1" width="4.42578125" bestFit="1" customWidth="1"/>
    <col min="2" max="2" width="54.7109375" bestFit="1" customWidth="1"/>
    <col min="3" max="3" width="16.7109375" style="5" customWidth="1"/>
    <col min="4" max="4" width="14.28515625" bestFit="1" customWidth="1"/>
    <col min="5" max="5" width="15.140625" customWidth="1"/>
  </cols>
  <sheetData>
    <row r="1" spans="1:17">
      <c r="D1" t="str">
        <f>'Title Input and Macros'!B7</f>
        <v>Docket No. RP16-299-000</v>
      </c>
    </row>
    <row r="2" spans="1:17">
      <c r="D2" t="s">
        <v>192</v>
      </c>
    </row>
    <row r="4" spans="1:17">
      <c r="A4" s="927" t="str">
        <f>'I-1(b)'!A4:D4</f>
        <v>Tuscarora Gas Transmission Company</v>
      </c>
      <c r="B4" s="927"/>
      <c r="C4" s="927"/>
      <c r="D4" s="927"/>
    </row>
    <row r="5" spans="1:17">
      <c r="A5" s="927" t="s">
        <v>191</v>
      </c>
      <c r="B5" s="927"/>
      <c r="C5" s="927"/>
      <c r="D5" s="927"/>
    </row>
    <row r="6" spans="1:17">
      <c r="A6" s="929" t="str">
        <f>'Title Input and Macros'!B9</f>
        <v>For the Twelve Months Ended December 31, 2015, As Adjusted</v>
      </c>
      <c r="B6" s="929"/>
      <c r="C6" s="929"/>
      <c r="D6" s="929"/>
      <c r="E6" s="2"/>
    </row>
    <row r="7" spans="1:17">
      <c r="A7" s="43"/>
      <c r="B7" s="43"/>
      <c r="C7" s="23"/>
      <c r="E7" s="2"/>
    </row>
    <row r="8" spans="1:17" s="2" customFormat="1">
      <c r="C8" s="23"/>
      <c r="D8" s="50"/>
      <c r="E8" s="50"/>
    </row>
    <row r="9" spans="1:17">
      <c r="C9"/>
      <c r="H9" s="2"/>
      <c r="I9" s="2"/>
      <c r="J9" s="2"/>
      <c r="K9" s="2"/>
      <c r="L9" s="2"/>
      <c r="M9" s="2"/>
      <c r="N9" s="2"/>
    </row>
    <row r="10" spans="1:17">
      <c r="B10" s="296" t="s">
        <v>701</v>
      </c>
      <c r="C10" s="4"/>
      <c r="H10" s="3"/>
      <c r="I10" s="3"/>
      <c r="J10" s="3"/>
      <c r="K10" s="3"/>
      <c r="L10" s="3"/>
      <c r="M10" s="3"/>
      <c r="N10" s="3"/>
      <c r="O10" s="3"/>
      <c r="P10" s="2"/>
      <c r="Q10" s="2"/>
    </row>
    <row r="11" spans="1:17">
      <c r="C11"/>
    </row>
    <row r="12" spans="1:17">
      <c r="B12" s="72"/>
      <c r="C12"/>
    </row>
    <row r="13" spans="1:17">
      <c r="C13"/>
    </row>
    <row r="14" spans="1:17">
      <c r="C14"/>
    </row>
    <row r="15" spans="1:17">
      <c r="C15"/>
    </row>
    <row r="16" spans="1:17">
      <c r="C16"/>
    </row>
    <row r="17" spans="3:3">
      <c r="C17"/>
    </row>
    <row r="18" spans="3:3">
      <c r="C18"/>
    </row>
    <row r="19" spans="3:3">
      <c r="C19"/>
    </row>
    <row r="20" spans="3:3">
      <c r="C20"/>
    </row>
    <row r="21" spans="3:3">
      <c r="C21"/>
    </row>
    <row r="22" spans="3:3">
      <c r="C22"/>
    </row>
    <row r="23" spans="3:3">
      <c r="C23"/>
    </row>
    <row r="24" spans="3:3">
      <c r="C24"/>
    </row>
    <row r="25" spans="3:3">
      <c r="C25"/>
    </row>
    <row r="26" spans="3:3">
      <c r="C26"/>
    </row>
    <row r="27" spans="3:3">
      <c r="C27"/>
    </row>
    <row r="28" spans="3:3">
      <c r="C28"/>
    </row>
    <row r="29" spans="3:3">
      <c r="C29"/>
    </row>
    <row r="30" spans="3:3">
      <c r="C30"/>
    </row>
    <row r="31" spans="3:3">
      <c r="C31"/>
    </row>
    <row r="32" spans="3:3">
      <c r="C32"/>
    </row>
    <row r="33" spans="3:3">
      <c r="C33"/>
    </row>
    <row r="34" spans="3:3">
      <c r="C34"/>
    </row>
    <row r="35" spans="3:3">
      <c r="C35"/>
    </row>
    <row r="36" spans="3:3">
      <c r="C36"/>
    </row>
    <row r="37" spans="3:3">
      <c r="C37"/>
    </row>
    <row r="38" spans="3:3">
      <c r="C38"/>
    </row>
    <row r="39" spans="3:3">
      <c r="C39"/>
    </row>
  </sheetData>
  <mergeCells count="3">
    <mergeCell ref="A4:D4"/>
    <mergeCell ref="A5:D5"/>
    <mergeCell ref="A6:D6"/>
  </mergeCells>
  <phoneticPr fontId="5" type="noConversion"/>
  <pageMargins left="0.75" right="0.75" top="1" bottom="1" header="0.5" footer="0.5"/>
  <pageSetup scale="86"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X56"/>
  <sheetViews>
    <sheetView zoomScaleNormal="100" workbookViewId="0">
      <selection activeCell="I47" sqref="I47"/>
    </sheetView>
  </sheetViews>
  <sheetFormatPr defaultRowHeight="12.75"/>
  <cols>
    <col min="1" max="1" width="5.140625" customWidth="1"/>
    <col min="2" max="2" width="2.85546875" customWidth="1"/>
    <col min="3" max="3" width="13.7109375" style="648" customWidth="1"/>
    <col min="4" max="4" width="2.7109375" customWidth="1"/>
    <col min="5" max="5" width="49.140625" bestFit="1" customWidth="1"/>
    <col min="6" max="6" width="2.7109375" customWidth="1"/>
    <col min="8" max="8" width="2.7109375" customWidth="1"/>
    <col min="9" max="9" width="15" bestFit="1" customWidth="1"/>
    <col min="10" max="10" width="2.7109375" customWidth="1"/>
    <col min="11" max="11" width="14" bestFit="1" customWidth="1"/>
    <col min="12" max="12" width="2.7109375" customWidth="1"/>
    <col min="13" max="13" width="12.42578125" bestFit="1" customWidth="1"/>
    <col min="14" max="14" width="2.7109375" customWidth="1"/>
    <col min="15" max="15" width="14" bestFit="1" customWidth="1"/>
    <col min="16" max="16" width="2.7109375" customWidth="1"/>
    <col min="17" max="17" width="14.140625" customWidth="1"/>
    <col min="23" max="23" width="12.28515625" bestFit="1" customWidth="1"/>
  </cols>
  <sheetData>
    <row r="1" spans="1:19">
      <c r="Q1" s="10" t="s">
        <v>756</v>
      </c>
    </row>
    <row r="2" spans="1:19">
      <c r="Q2" s="10" t="s">
        <v>1022</v>
      </c>
    </row>
    <row r="3" spans="1:19">
      <c r="A3" s="927" t="s">
        <v>658</v>
      </c>
      <c r="B3" s="927"/>
      <c r="C3" s="927"/>
      <c r="D3" s="927"/>
      <c r="E3" s="927"/>
      <c r="F3" s="927"/>
      <c r="G3" s="927"/>
      <c r="H3" s="927"/>
      <c r="I3" s="927"/>
      <c r="J3" s="927"/>
      <c r="K3" s="927"/>
      <c r="L3" s="927"/>
      <c r="M3" s="927"/>
      <c r="N3" s="927"/>
      <c r="O3" s="927"/>
      <c r="P3" s="927"/>
      <c r="Q3" s="927"/>
    </row>
    <row r="4" spans="1:19">
      <c r="A4" s="927" t="s">
        <v>1023</v>
      </c>
      <c r="B4" s="927"/>
      <c r="C4" s="927"/>
      <c r="D4" s="927"/>
      <c r="E4" s="927"/>
      <c r="F4" s="927"/>
      <c r="G4" s="927"/>
      <c r="H4" s="927"/>
      <c r="I4" s="927"/>
      <c r="J4" s="927"/>
      <c r="K4" s="927"/>
      <c r="L4" s="927"/>
      <c r="M4" s="927"/>
      <c r="N4" s="927"/>
      <c r="O4" s="927"/>
      <c r="P4" s="927"/>
      <c r="Q4" s="927"/>
    </row>
    <row r="5" spans="1:19">
      <c r="A5" s="927" t="s">
        <v>765</v>
      </c>
      <c r="B5" s="927"/>
      <c r="C5" s="927"/>
      <c r="D5" s="927"/>
      <c r="E5" s="927"/>
      <c r="F5" s="927"/>
      <c r="G5" s="927"/>
      <c r="H5" s="927"/>
      <c r="I5" s="927"/>
      <c r="J5" s="927"/>
      <c r="K5" s="927"/>
      <c r="L5" s="927"/>
      <c r="M5" s="927"/>
      <c r="N5" s="927"/>
      <c r="O5" s="927"/>
      <c r="P5" s="927"/>
      <c r="Q5" s="927"/>
    </row>
    <row r="6" spans="1:19">
      <c r="B6" s="73"/>
      <c r="C6" s="606"/>
      <c r="D6" s="73"/>
      <c r="E6" s="73"/>
      <c r="F6" s="73"/>
      <c r="G6" s="73"/>
      <c r="H6" s="73"/>
      <c r="I6" s="73"/>
      <c r="J6" s="73"/>
      <c r="K6" s="73"/>
      <c r="L6" s="73"/>
      <c r="M6" s="73"/>
      <c r="N6" s="73"/>
    </row>
    <row r="7" spans="1:19" s="648" customFormat="1" ht="25.5">
      <c r="A7" s="649" t="s">
        <v>854</v>
      </c>
      <c r="B7" s="606"/>
      <c r="C7" s="649" t="s">
        <v>1024</v>
      </c>
      <c r="D7" s="606"/>
      <c r="E7" s="49" t="s">
        <v>354</v>
      </c>
      <c r="F7" s="606"/>
      <c r="G7" s="49" t="s">
        <v>355</v>
      </c>
      <c r="H7" s="606"/>
      <c r="I7" s="49" t="s">
        <v>356</v>
      </c>
      <c r="J7" s="606"/>
      <c r="K7" s="49" t="s">
        <v>1025</v>
      </c>
      <c r="L7" s="606"/>
      <c r="M7" s="49" t="s">
        <v>1026</v>
      </c>
      <c r="N7" s="606"/>
      <c r="O7" s="49" t="s">
        <v>855</v>
      </c>
      <c r="Q7" s="49" t="s">
        <v>856</v>
      </c>
    </row>
    <row r="8" spans="1:19" s="648" customFormat="1">
      <c r="B8" s="606"/>
      <c r="C8" s="606" t="s">
        <v>361</v>
      </c>
      <c r="D8" s="606"/>
      <c r="E8" s="606" t="s">
        <v>362</v>
      </c>
      <c r="F8" s="606"/>
      <c r="G8" s="606" t="s">
        <v>366</v>
      </c>
      <c r="H8" s="606"/>
      <c r="I8" s="606" t="s">
        <v>363</v>
      </c>
      <c r="J8" s="606"/>
      <c r="K8" s="606" t="s">
        <v>364</v>
      </c>
      <c r="L8" s="606"/>
      <c r="M8" s="606" t="s">
        <v>379</v>
      </c>
      <c r="N8" s="606"/>
      <c r="O8" s="648" t="s">
        <v>380</v>
      </c>
      <c r="Q8" s="648" t="s">
        <v>403</v>
      </c>
    </row>
    <row r="9" spans="1:19">
      <c r="B9" s="73"/>
      <c r="C9" s="606"/>
      <c r="D9" s="73"/>
      <c r="E9" s="73"/>
      <c r="F9" s="73"/>
      <c r="G9" s="73"/>
      <c r="H9" s="73"/>
      <c r="I9" s="73"/>
      <c r="J9" s="73"/>
      <c r="K9" s="73"/>
      <c r="L9" s="73"/>
      <c r="M9" s="73"/>
      <c r="N9" s="73"/>
    </row>
    <row r="10" spans="1:19">
      <c r="B10" s="73"/>
      <c r="C10" s="606"/>
      <c r="D10" s="73"/>
      <c r="E10" s="73" t="s">
        <v>181</v>
      </c>
      <c r="F10" s="73"/>
      <c r="G10" s="73"/>
      <c r="H10" s="73"/>
      <c r="I10" s="73"/>
      <c r="J10" s="73"/>
      <c r="K10" s="73"/>
      <c r="L10" s="73"/>
      <c r="M10" s="73"/>
      <c r="N10" s="73"/>
    </row>
    <row r="11" spans="1:19">
      <c r="E11" t="s">
        <v>1027</v>
      </c>
      <c r="G11" t="s">
        <v>369</v>
      </c>
    </row>
    <row r="12" spans="1:19">
      <c r="A12">
        <v>1</v>
      </c>
      <c r="C12" s="648">
        <v>850</v>
      </c>
      <c r="E12" t="s">
        <v>162</v>
      </c>
      <c r="I12" s="852">
        <f>'H-1'!R26</f>
        <v>429332.56519999995</v>
      </c>
      <c r="K12" s="653">
        <f>I12</f>
        <v>429332.56519999995</v>
      </c>
      <c r="M12" s="852">
        <v>0</v>
      </c>
      <c r="O12" s="653">
        <f>K12</f>
        <v>429332.56519999995</v>
      </c>
      <c r="Q12" s="653">
        <f>M12</f>
        <v>0</v>
      </c>
    </row>
    <row r="13" spans="1:19">
      <c r="A13">
        <v>2</v>
      </c>
      <c r="C13" s="648">
        <v>851</v>
      </c>
      <c r="E13" t="s">
        <v>163</v>
      </c>
      <c r="I13" s="852">
        <f>'H-1'!R27</f>
        <v>2126.16</v>
      </c>
      <c r="J13" s="483"/>
      <c r="K13" s="483">
        <f>I13</f>
        <v>2126.16</v>
      </c>
      <c r="L13" s="483"/>
      <c r="M13" s="853">
        <v>0</v>
      </c>
      <c r="N13" s="483"/>
      <c r="O13" s="483">
        <f t="shared" ref="O13:O22" si="0">K13</f>
        <v>2126.16</v>
      </c>
      <c r="P13" s="483"/>
      <c r="Q13" s="483">
        <f t="shared" ref="Q13:Q23" si="1">M13</f>
        <v>0</v>
      </c>
    </row>
    <row r="14" spans="1:19">
      <c r="A14">
        <v>3</v>
      </c>
      <c r="C14" s="648">
        <v>852</v>
      </c>
      <c r="E14" t="s">
        <v>164</v>
      </c>
      <c r="I14" s="852">
        <f>'H-1'!R28</f>
        <v>100921.65</v>
      </c>
      <c r="J14" s="483"/>
      <c r="K14" s="483">
        <f>I14</f>
        <v>100921.65</v>
      </c>
      <c r="L14" s="483"/>
      <c r="M14" s="853">
        <v>0</v>
      </c>
      <c r="N14" s="483"/>
      <c r="O14" s="483">
        <f t="shared" si="0"/>
        <v>100921.65</v>
      </c>
      <c r="P14" s="483"/>
      <c r="Q14" s="483">
        <f t="shared" si="1"/>
        <v>0</v>
      </c>
    </row>
    <row r="15" spans="1:19">
      <c r="A15">
        <v>4</v>
      </c>
      <c r="C15" s="648">
        <v>853</v>
      </c>
      <c r="E15" t="s">
        <v>1028</v>
      </c>
      <c r="I15" s="852">
        <f>'H-1'!R29</f>
        <v>351002.69930000004</v>
      </c>
      <c r="J15" s="483"/>
      <c r="K15" s="483">
        <f>I15*(217984.31/(217984.31+126478.86))</f>
        <v>222122.67632283591</v>
      </c>
      <c r="L15" s="483"/>
      <c r="M15" s="853">
        <f>I15*(126478.86/(217984.31+126478.86))</f>
        <v>128880.02297716416</v>
      </c>
      <c r="N15" s="483"/>
      <c r="O15" s="483">
        <f t="shared" si="0"/>
        <v>222122.67632283591</v>
      </c>
      <c r="P15" s="483"/>
      <c r="Q15" s="483">
        <f t="shared" si="1"/>
        <v>128880.02297716416</v>
      </c>
      <c r="S15" s="483"/>
    </row>
    <row r="16" spans="1:19">
      <c r="A16">
        <v>5</v>
      </c>
      <c r="C16" s="648">
        <v>854</v>
      </c>
      <c r="E16" t="s">
        <v>153</v>
      </c>
      <c r="I16" s="852">
        <f>'H-1'!R30</f>
        <v>0</v>
      </c>
      <c r="J16" s="483"/>
      <c r="K16" s="483">
        <f>I16</f>
        <v>0</v>
      </c>
      <c r="L16" s="483"/>
      <c r="M16" s="853">
        <v>0</v>
      </c>
      <c r="N16" s="483"/>
      <c r="O16" s="483">
        <f t="shared" si="0"/>
        <v>0</v>
      </c>
      <c r="P16" s="483"/>
      <c r="Q16" s="483">
        <f t="shared" si="1"/>
        <v>0</v>
      </c>
    </row>
    <row r="17" spans="1:24">
      <c r="A17">
        <v>6</v>
      </c>
      <c r="C17" s="648">
        <v>855</v>
      </c>
      <c r="E17" t="s">
        <v>1029</v>
      </c>
      <c r="I17" s="852">
        <f>'H-1'!R31</f>
        <v>0</v>
      </c>
      <c r="J17" s="483"/>
      <c r="K17" s="483">
        <f>I17</f>
        <v>0</v>
      </c>
      <c r="L17" s="483"/>
      <c r="M17" s="853">
        <v>0</v>
      </c>
      <c r="N17" s="483"/>
      <c r="O17" s="483">
        <f t="shared" si="0"/>
        <v>0</v>
      </c>
      <c r="P17" s="483"/>
      <c r="Q17" s="483">
        <f t="shared" si="1"/>
        <v>0</v>
      </c>
      <c r="W17" s="854"/>
      <c r="X17" s="644"/>
    </row>
    <row r="18" spans="1:24">
      <c r="A18">
        <v>7</v>
      </c>
      <c r="C18" s="648">
        <v>856</v>
      </c>
      <c r="E18" t="s">
        <v>1030</v>
      </c>
      <c r="I18" s="852">
        <f>'H-1'!R32</f>
        <v>155324.53579999998</v>
      </c>
      <c r="J18" s="483"/>
      <c r="K18" s="483">
        <f>I18</f>
        <v>155324.53579999998</v>
      </c>
      <c r="L18" s="483"/>
      <c r="M18" s="853">
        <v>0</v>
      </c>
      <c r="N18" s="483"/>
      <c r="O18" s="483">
        <f t="shared" si="0"/>
        <v>155324.53579999998</v>
      </c>
      <c r="P18" s="483"/>
      <c r="Q18" s="483">
        <f t="shared" si="1"/>
        <v>0</v>
      </c>
      <c r="W18" s="854"/>
      <c r="X18" s="644"/>
    </row>
    <row r="19" spans="1:24">
      <c r="A19">
        <v>8</v>
      </c>
      <c r="C19" s="648">
        <v>857</v>
      </c>
      <c r="E19" t="s">
        <v>1031</v>
      </c>
      <c r="I19" s="852">
        <f>'H-1'!R33</f>
        <v>89946.708499999993</v>
      </c>
      <c r="J19" s="483"/>
      <c r="K19" s="483">
        <f t="shared" ref="K19:K22" si="2">I19</f>
        <v>89946.708499999993</v>
      </c>
      <c r="L19" s="483"/>
      <c r="M19" s="853">
        <v>0</v>
      </c>
      <c r="N19" s="483"/>
      <c r="O19" s="483">
        <f t="shared" si="0"/>
        <v>89946.708499999993</v>
      </c>
      <c r="P19" s="483"/>
      <c r="Q19" s="483">
        <f t="shared" si="1"/>
        <v>0</v>
      </c>
      <c r="W19" s="854"/>
    </row>
    <row r="20" spans="1:24">
      <c r="A20">
        <v>9</v>
      </c>
      <c r="C20" s="648">
        <v>858</v>
      </c>
      <c r="E20" t="s">
        <v>1032</v>
      </c>
      <c r="I20" s="852">
        <f>'H-1'!R34</f>
        <v>0</v>
      </c>
      <c r="J20" s="483"/>
      <c r="K20" s="483">
        <f t="shared" si="2"/>
        <v>0</v>
      </c>
      <c r="L20" s="483"/>
      <c r="M20" s="853">
        <v>0</v>
      </c>
      <c r="N20" s="483"/>
      <c r="O20" s="483">
        <f t="shared" si="0"/>
        <v>0</v>
      </c>
      <c r="P20" s="483"/>
      <c r="Q20" s="483">
        <f t="shared" si="1"/>
        <v>0</v>
      </c>
    </row>
    <row r="21" spans="1:24">
      <c r="A21">
        <v>10</v>
      </c>
      <c r="C21" s="648">
        <v>859</v>
      </c>
      <c r="E21" t="s">
        <v>158</v>
      </c>
      <c r="I21" s="852">
        <f>'H-1'!R35</f>
        <v>19393.230000000003</v>
      </c>
      <c r="J21" s="483"/>
      <c r="K21" s="483">
        <f t="shared" si="2"/>
        <v>19393.230000000003</v>
      </c>
      <c r="L21" s="483"/>
      <c r="M21" s="853">
        <v>0</v>
      </c>
      <c r="N21" s="483"/>
      <c r="O21" s="483">
        <f t="shared" si="0"/>
        <v>19393.230000000003</v>
      </c>
      <c r="P21" s="483"/>
      <c r="Q21" s="483">
        <f t="shared" si="1"/>
        <v>0</v>
      </c>
    </row>
    <row r="22" spans="1:24">
      <c r="A22">
        <v>11</v>
      </c>
      <c r="C22" s="648">
        <v>860</v>
      </c>
      <c r="E22" t="s">
        <v>150</v>
      </c>
      <c r="I22" s="852">
        <f>'H-1'!R36</f>
        <v>59112.3</v>
      </c>
      <c r="J22" s="483"/>
      <c r="K22" s="483">
        <f t="shared" si="2"/>
        <v>59112.3</v>
      </c>
      <c r="L22" s="483"/>
      <c r="M22" s="853">
        <v>0</v>
      </c>
      <c r="N22" s="483"/>
      <c r="O22" s="483">
        <f t="shared" si="0"/>
        <v>59112.3</v>
      </c>
      <c r="P22" s="483"/>
      <c r="Q22" s="483">
        <f t="shared" si="1"/>
        <v>0</v>
      </c>
    </row>
    <row r="23" spans="1:24">
      <c r="A23">
        <v>12</v>
      </c>
      <c r="E23" t="s">
        <v>1033</v>
      </c>
      <c r="I23" s="147">
        <f>SUM(I12:I22)</f>
        <v>1207159.8487999998</v>
      </c>
      <c r="J23" s="68"/>
      <c r="K23" s="147">
        <f>SUM(K12:K22)</f>
        <v>1078279.8258228358</v>
      </c>
      <c r="L23" s="127"/>
      <c r="M23" s="147">
        <f>SUM(M12:M22)</f>
        <v>128880.02297716416</v>
      </c>
      <c r="N23" s="68"/>
      <c r="O23" s="147">
        <f>SUM(O12:O22)</f>
        <v>1078279.8258228358</v>
      </c>
      <c r="P23" s="68"/>
      <c r="Q23" s="147">
        <f t="shared" si="1"/>
        <v>128880.02297716416</v>
      </c>
    </row>
    <row r="25" spans="1:24">
      <c r="E25" t="s">
        <v>1034</v>
      </c>
      <c r="G25" t="s">
        <v>369</v>
      </c>
    </row>
    <row r="26" spans="1:24">
      <c r="A26">
        <v>13</v>
      </c>
      <c r="C26" s="648">
        <v>861</v>
      </c>
      <c r="E26" t="s">
        <v>1035</v>
      </c>
      <c r="I26" s="855">
        <f>'H-1'!R39</f>
        <v>0</v>
      </c>
      <c r="J26" s="856"/>
      <c r="K26" s="856">
        <f>I26</f>
        <v>0</v>
      </c>
      <c r="L26" s="856"/>
      <c r="M26" s="857">
        <v>0</v>
      </c>
      <c r="N26" s="856"/>
      <c r="O26" s="856">
        <f>K26</f>
        <v>0</v>
      </c>
      <c r="P26" s="856"/>
      <c r="Q26" s="856">
        <f>M26</f>
        <v>0</v>
      </c>
    </row>
    <row r="27" spans="1:24">
      <c r="A27">
        <v>14</v>
      </c>
      <c r="C27" s="648">
        <v>862</v>
      </c>
      <c r="E27" t="s">
        <v>1036</v>
      </c>
      <c r="I27" s="855">
        <f>'H-1'!R40</f>
        <v>0</v>
      </c>
      <c r="J27" s="78"/>
      <c r="K27" s="78">
        <f t="shared" ref="K27:K32" si="3">I27</f>
        <v>0</v>
      </c>
      <c r="L27" s="78"/>
      <c r="M27" s="858">
        <v>0</v>
      </c>
      <c r="N27" s="78"/>
      <c r="O27" s="78">
        <f t="shared" ref="O27:O32" si="4">K27</f>
        <v>0</v>
      </c>
      <c r="P27" s="78"/>
      <c r="Q27" s="78">
        <f t="shared" ref="Q27:Q32" si="5">M27</f>
        <v>0</v>
      </c>
    </row>
    <row r="28" spans="1:24">
      <c r="A28">
        <v>15</v>
      </c>
      <c r="C28" s="648">
        <v>863</v>
      </c>
      <c r="E28" t="s">
        <v>1037</v>
      </c>
      <c r="I28" s="855">
        <f>'H-1'!R41</f>
        <v>1145081.9774999998</v>
      </c>
      <c r="J28" s="78"/>
      <c r="K28" s="78">
        <f t="shared" si="3"/>
        <v>1145081.9774999998</v>
      </c>
      <c r="L28" s="78"/>
      <c r="M28" s="858">
        <v>0</v>
      </c>
      <c r="N28" s="78"/>
      <c r="O28" s="78">
        <f t="shared" si="4"/>
        <v>1145081.9774999998</v>
      </c>
      <c r="P28" s="78"/>
      <c r="Q28" s="78">
        <f t="shared" si="5"/>
        <v>0</v>
      </c>
    </row>
    <row r="29" spans="1:24">
      <c r="A29">
        <v>16</v>
      </c>
      <c r="C29" s="648">
        <v>864</v>
      </c>
      <c r="E29" t="s">
        <v>1038</v>
      </c>
      <c r="I29" s="855">
        <f>'H-1'!R42</f>
        <v>679.34679999999992</v>
      </c>
      <c r="J29" s="78"/>
      <c r="K29" s="78">
        <f t="shared" si="3"/>
        <v>679.34679999999992</v>
      </c>
      <c r="L29" s="78"/>
      <c r="M29" s="858">
        <v>0</v>
      </c>
      <c r="N29" s="78"/>
      <c r="O29" s="78">
        <f t="shared" si="4"/>
        <v>679.34679999999992</v>
      </c>
      <c r="P29" s="78"/>
      <c r="Q29" s="78">
        <f t="shared" si="5"/>
        <v>0</v>
      </c>
    </row>
    <row r="30" spans="1:24">
      <c r="A30">
        <v>17</v>
      </c>
      <c r="C30" s="648">
        <v>865</v>
      </c>
      <c r="E30" t="s">
        <v>1039</v>
      </c>
      <c r="I30" s="855">
        <f>'H-1'!R43</f>
        <v>0</v>
      </c>
      <c r="J30" s="78"/>
      <c r="K30" s="78">
        <f t="shared" si="3"/>
        <v>0</v>
      </c>
      <c r="L30" s="78"/>
      <c r="M30" s="858">
        <v>0</v>
      </c>
      <c r="N30" s="78"/>
      <c r="O30" s="78">
        <f t="shared" si="4"/>
        <v>0</v>
      </c>
      <c r="P30" s="78"/>
      <c r="Q30" s="78">
        <f t="shared" si="5"/>
        <v>0</v>
      </c>
    </row>
    <row r="31" spans="1:24">
      <c r="A31">
        <v>18</v>
      </c>
      <c r="C31" s="648">
        <v>866</v>
      </c>
      <c r="E31" t="s">
        <v>1040</v>
      </c>
      <c r="I31" s="855">
        <f>'H-1'!R44</f>
        <v>0</v>
      </c>
      <c r="J31" s="78"/>
      <c r="K31" s="78">
        <f t="shared" si="3"/>
        <v>0</v>
      </c>
      <c r="L31" s="78"/>
      <c r="M31" s="858">
        <v>0</v>
      </c>
      <c r="N31" s="78"/>
      <c r="O31" s="78">
        <f t="shared" si="4"/>
        <v>0</v>
      </c>
      <c r="P31" s="78"/>
      <c r="Q31" s="78">
        <f t="shared" si="5"/>
        <v>0</v>
      </c>
    </row>
    <row r="32" spans="1:24">
      <c r="A32">
        <v>19</v>
      </c>
      <c r="C32" s="648">
        <v>867</v>
      </c>
      <c r="E32" t="s">
        <v>1041</v>
      </c>
      <c r="I32" s="855">
        <f>'H-1'!R45</f>
        <v>0</v>
      </c>
      <c r="J32" s="78"/>
      <c r="K32" s="78">
        <f t="shared" si="3"/>
        <v>0</v>
      </c>
      <c r="L32" s="78"/>
      <c r="M32" s="858">
        <v>0</v>
      </c>
      <c r="N32" s="78"/>
      <c r="O32" s="78">
        <f t="shared" si="4"/>
        <v>0</v>
      </c>
      <c r="P32" s="78"/>
      <c r="Q32" s="78">
        <f t="shared" si="5"/>
        <v>0</v>
      </c>
    </row>
    <row r="33" spans="1:17">
      <c r="A33">
        <v>20</v>
      </c>
      <c r="E33" t="s">
        <v>1042</v>
      </c>
      <c r="I33" s="859">
        <f>SUM(I26:I32)</f>
        <v>1145761.3242999997</v>
      </c>
      <c r="J33" s="78"/>
      <c r="K33" s="859">
        <f>SUM(K26:K32)</f>
        <v>1145761.3242999997</v>
      </c>
      <c r="L33" s="78"/>
      <c r="M33" s="860">
        <f>SUM(M26:M32)</f>
        <v>0</v>
      </c>
      <c r="N33" s="78"/>
      <c r="O33" s="859">
        <f>SUM(O26:O32)</f>
        <v>1145761.3242999997</v>
      </c>
      <c r="P33" s="78"/>
      <c r="Q33" s="859">
        <f>SUM(Q26:Q32)</f>
        <v>0</v>
      </c>
    </row>
    <row r="35" spans="1:17">
      <c r="A35">
        <v>21</v>
      </c>
      <c r="E35" t="s">
        <v>1043</v>
      </c>
      <c r="G35" t="s">
        <v>369</v>
      </c>
      <c r="I35" s="68">
        <f>'H-1'!R64</f>
        <v>5876230.9533389984</v>
      </c>
      <c r="K35" s="68">
        <f>I35</f>
        <v>5876230.9533389984</v>
      </c>
      <c r="M35" s="861">
        <v>0</v>
      </c>
      <c r="O35" s="68">
        <f>K35</f>
        <v>5876230.9533389984</v>
      </c>
      <c r="Q35" s="862">
        <f>M35</f>
        <v>0</v>
      </c>
    </row>
    <row r="37" spans="1:17">
      <c r="A37">
        <v>22</v>
      </c>
      <c r="E37" t="s">
        <v>377</v>
      </c>
      <c r="I37" s="653">
        <f>I33+I23</f>
        <v>2352921.1730999993</v>
      </c>
      <c r="J37" s="653"/>
      <c r="K37" s="653">
        <f t="shared" ref="K37:Q37" si="6">K33+K23</f>
        <v>2224041.1501228353</v>
      </c>
      <c r="L37" s="653"/>
      <c r="M37" s="653">
        <f t="shared" si="6"/>
        <v>128880.02297716416</v>
      </c>
      <c r="N37" s="653"/>
      <c r="O37" s="653">
        <f t="shared" si="6"/>
        <v>2224041.1501228353</v>
      </c>
      <c r="P37" s="653"/>
      <c r="Q37" s="653">
        <f t="shared" si="6"/>
        <v>128880.02297716416</v>
      </c>
    </row>
    <row r="39" spans="1:17">
      <c r="A39">
        <v>23</v>
      </c>
      <c r="E39" t="s">
        <v>1044</v>
      </c>
      <c r="G39" t="s">
        <v>370</v>
      </c>
      <c r="I39" s="852">
        <f>'H-2 P1'!H45</f>
        <v>5727661.4714130005</v>
      </c>
      <c r="J39" s="852"/>
      <c r="K39" s="852">
        <f>I39</f>
        <v>5727661.4714130005</v>
      </c>
      <c r="L39" s="852"/>
      <c r="M39" s="852">
        <v>0</v>
      </c>
      <c r="N39" s="852"/>
      <c r="O39" s="852">
        <f>K39</f>
        <v>5727661.4714130005</v>
      </c>
      <c r="P39" s="852"/>
      <c r="Q39" s="852">
        <f>M39</f>
        <v>0</v>
      </c>
    </row>
    <row r="41" spans="1:17">
      <c r="E41" t="s">
        <v>1045</v>
      </c>
    </row>
    <row r="42" spans="1:17" ht="12.75" hidden="1" customHeight="1">
      <c r="A42">
        <v>24</v>
      </c>
      <c r="E42" t="s">
        <v>1046</v>
      </c>
      <c r="G42" t="s">
        <v>375</v>
      </c>
      <c r="I42" s="852">
        <v>0</v>
      </c>
      <c r="K42" s="852">
        <f>I42</f>
        <v>0</v>
      </c>
      <c r="M42" s="854">
        <v>0</v>
      </c>
      <c r="O42" s="653">
        <f>K42</f>
        <v>0</v>
      </c>
      <c r="Q42" s="862">
        <f>M42</f>
        <v>0</v>
      </c>
    </row>
    <row r="43" spans="1:17" ht="12.75" hidden="1" customHeight="1">
      <c r="A43">
        <v>25</v>
      </c>
      <c r="E43" t="s">
        <v>1047</v>
      </c>
      <c r="G43" t="s">
        <v>375</v>
      </c>
      <c r="I43" s="852">
        <v>0</v>
      </c>
      <c r="K43" s="852">
        <f t="shared" ref="K43:K45" si="7">I43</f>
        <v>0</v>
      </c>
      <c r="M43" s="854">
        <v>0</v>
      </c>
      <c r="O43" s="653">
        <f t="shared" ref="O43:O47" si="8">K43</f>
        <v>0</v>
      </c>
      <c r="Q43" s="862">
        <f t="shared" ref="Q43:Q47" si="9">M43</f>
        <v>0</v>
      </c>
    </row>
    <row r="44" spans="1:17" s="72" customFormat="1">
      <c r="A44" s="72">
        <v>25</v>
      </c>
      <c r="C44" s="874"/>
      <c r="E44" s="72" t="s">
        <v>1077</v>
      </c>
      <c r="G44" s="72" t="s">
        <v>375</v>
      </c>
      <c r="I44" s="879">
        <f>'H-3'!C25</f>
        <v>4610026.5621045781</v>
      </c>
      <c r="K44" s="879">
        <f>I44</f>
        <v>4610026.5621045781</v>
      </c>
      <c r="M44" s="880">
        <v>0</v>
      </c>
      <c r="O44" s="881">
        <f>K44</f>
        <v>4610026.5621045781</v>
      </c>
      <c r="Q44" s="882">
        <v>0</v>
      </c>
    </row>
    <row r="45" spans="1:17">
      <c r="A45">
        <v>26</v>
      </c>
      <c r="E45" t="s">
        <v>1048</v>
      </c>
      <c r="G45" t="s">
        <v>371</v>
      </c>
      <c r="I45" s="852">
        <f>'H-4 1of3'!E22</f>
        <v>1179090</v>
      </c>
      <c r="K45" s="852">
        <f t="shared" si="7"/>
        <v>1179090</v>
      </c>
      <c r="M45" s="854">
        <v>0</v>
      </c>
      <c r="O45" s="653">
        <f t="shared" si="8"/>
        <v>1179090</v>
      </c>
      <c r="Q45" s="862">
        <f t="shared" si="9"/>
        <v>0</v>
      </c>
    </row>
    <row r="46" spans="1:17">
      <c r="I46" s="852"/>
      <c r="M46" s="854"/>
      <c r="O46" s="653"/>
      <c r="Q46" s="862"/>
    </row>
    <row r="47" spans="1:17">
      <c r="A47">
        <v>27</v>
      </c>
      <c r="E47" t="s">
        <v>468</v>
      </c>
      <c r="G47" t="s">
        <v>374</v>
      </c>
      <c r="I47" s="863">
        <f>B!D36</f>
        <v>8232413.5835289722</v>
      </c>
      <c r="K47" s="864">
        <f>I47</f>
        <v>8232413.5835289722</v>
      </c>
      <c r="M47" s="865">
        <v>0</v>
      </c>
      <c r="O47" s="864">
        <f t="shared" si="8"/>
        <v>8232413.5835289722</v>
      </c>
      <c r="Q47" s="866">
        <f t="shared" si="9"/>
        <v>0</v>
      </c>
    </row>
    <row r="49" spans="1:17" ht="13.5" thickBot="1">
      <c r="A49">
        <v>28</v>
      </c>
      <c r="E49" t="s">
        <v>1049</v>
      </c>
      <c r="I49" s="867">
        <f>SUM(I35:I48)</f>
        <v>27978343.743485551</v>
      </c>
      <c r="J49" s="868"/>
      <c r="K49" s="867">
        <f>SUM(K35:K48)</f>
        <v>27849463.720508385</v>
      </c>
      <c r="L49" s="868"/>
      <c r="M49" s="867">
        <f>SUM(M35:M48)</f>
        <v>128880.02297716416</v>
      </c>
      <c r="N49" s="868"/>
      <c r="O49" s="867">
        <f>SUM(O35:O48)</f>
        <v>27849463.720508385</v>
      </c>
      <c r="P49" s="869"/>
      <c r="Q49" s="867">
        <f>SUM(Q35:Q48)</f>
        <v>128880.02297716416</v>
      </c>
    </row>
    <row r="50" spans="1:17" ht="13.5" thickTop="1"/>
    <row r="53" spans="1:17">
      <c r="K53" s="870"/>
      <c r="M53" s="870"/>
    </row>
    <row r="54" spans="1:17">
      <c r="K54" s="870"/>
    </row>
    <row r="56" spans="1:17">
      <c r="M56" s="870"/>
    </row>
  </sheetData>
  <mergeCells count="3">
    <mergeCell ref="A3:Q3"/>
    <mergeCell ref="A4:Q4"/>
    <mergeCell ref="A5:Q5"/>
  </mergeCells>
  <pageMargins left="0.7" right="0.7" top="0.75" bottom="0.75" header="0.3" footer="0.3"/>
  <pageSetup scale="70" orientation="landscape" r:id="rId1"/>
  <colBreaks count="1" manualBreakCount="1">
    <brk id="18" max="48" man="1"/>
  </col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Q10"/>
  <sheetViews>
    <sheetView workbookViewId="0">
      <selection activeCell="A10" sqref="A10:Q10"/>
    </sheetView>
  </sheetViews>
  <sheetFormatPr defaultRowHeight="12.75"/>
  <sheetData>
    <row r="1" spans="1:17">
      <c r="C1" s="648"/>
      <c r="Q1" s="10" t="s">
        <v>756</v>
      </c>
    </row>
    <row r="2" spans="1:17">
      <c r="C2" s="648"/>
      <c r="Q2" s="10" t="s">
        <v>1050</v>
      </c>
    </row>
    <row r="3" spans="1:17">
      <c r="A3" s="927" t="s">
        <v>658</v>
      </c>
      <c r="B3" s="927"/>
      <c r="C3" s="927"/>
      <c r="D3" s="927"/>
      <c r="E3" s="927"/>
      <c r="F3" s="927"/>
      <c r="G3" s="927"/>
      <c r="H3" s="927"/>
      <c r="I3" s="927"/>
      <c r="J3" s="927"/>
      <c r="K3" s="927"/>
      <c r="L3" s="927"/>
      <c r="M3" s="927"/>
      <c r="N3" s="927"/>
      <c r="O3" s="927"/>
      <c r="P3" s="927"/>
      <c r="Q3" s="927"/>
    </row>
    <row r="4" spans="1:17">
      <c r="B4" s="73"/>
      <c r="C4" s="606"/>
      <c r="D4" s="73"/>
      <c r="E4" s="73"/>
      <c r="F4" s="73"/>
      <c r="G4" s="73"/>
      <c r="H4" s="73"/>
      <c r="I4" s="73"/>
      <c r="J4" s="73"/>
      <c r="K4" s="73"/>
      <c r="L4" s="73"/>
      <c r="M4" s="73"/>
      <c r="N4" s="73"/>
    </row>
    <row r="5" spans="1:17">
      <c r="B5" s="73"/>
      <c r="C5" s="606"/>
      <c r="D5" s="73"/>
      <c r="E5" s="73"/>
      <c r="F5" s="73"/>
      <c r="G5" s="73"/>
      <c r="H5" s="73"/>
      <c r="I5" s="73"/>
      <c r="J5" s="73"/>
      <c r="K5" s="73"/>
      <c r="L5" s="73"/>
      <c r="M5" s="73"/>
      <c r="N5" s="73"/>
    </row>
    <row r="6" spans="1:17">
      <c r="A6" s="927" t="s">
        <v>1051</v>
      </c>
      <c r="B6" s="927"/>
      <c r="C6" s="927"/>
      <c r="D6" s="927"/>
      <c r="E6" s="927"/>
      <c r="F6" s="927"/>
      <c r="G6" s="927"/>
      <c r="H6" s="927"/>
      <c r="I6" s="927"/>
      <c r="J6" s="927"/>
      <c r="K6" s="927"/>
      <c r="L6" s="927"/>
      <c r="M6" s="927"/>
      <c r="N6" s="927"/>
      <c r="O6" s="927"/>
      <c r="P6" s="927"/>
      <c r="Q6" s="927"/>
    </row>
    <row r="7" spans="1:17">
      <c r="A7" s="927" t="s">
        <v>765</v>
      </c>
      <c r="B7" s="927"/>
      <c r="C7" s="927"/>
      <c r="D7" s="927"/>
      <c r="E7" s="927"/>
      <c r="F7" s="927"/>
      <c r="G7" s="927"/>
      <c r="H7" s="927"/>
      <c r="I7" s="927"/>
      <c r="J7" s="927"/>
      <c r="K7" s="927"/>
      <c r="L7" s="927"/>
      <c r="M7" s="927"/>
      <c r="N7" s="927"/>
      <c r="O7" s="927"/>
      <c r="P7" s="927"/>
      <c r="Q7" s="927"/>
    </row>
    <row r="10" spans="1:17">
      <c r="A10" s="927" t="s">
        <v>1052</v>
      </c>
      <c r="B10" s="927"/>
      <c r="C10" s="927"/>
      <c r="D10" s="927"/>
      <c r="E10" s="927"/>
      <c r="F10" s="927"/>
      <c r="G10" s="927"/>
      <c r="H10" s="927"/>
      <c r="I10" s="927"/>
      <c r="J10" s="927"/>
      <c r="K10" s="927"/>
      <c r="L10" s="927"/>
      <c r="M10" s="927"/>
      <c r="N10" s="927"/>
      <c r="O10" s="927"/>
      <c r="P10" s="927"/>
      <c r="Q10" s="927"/>
    </row>
  </sheetData>
  <mergeCells count="4">
    <mergeCell ref="A3:Q3"/>
    <mergeCell ref="A6:Q6"/>
    <mergeCell ref="A7:Q7"/>
    <mergeCell ref="A10:Q10"/>
  </mergeCells>
  <pageMargins left="0.7" right="0.7" top="0.75" bottom="0.75" header="0.3" footer="0.3"/>
  <pageSetup scale="8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Q10"/>
  <sheetViews>
    <sheetView workbookViewId="0">
      <selection sqref="A1:XFD5"/>
    </sheetView>
  </sheetViews>
  <sheetFormatPr defaultRowHeight="12.75"/>
  <sheetData>
    <row r="1" spans="1:17">
      <c r="C1" s="648"/>
      <c r="Q1" s="10" t="s">
        <v>756</v>
      </c>
    </row>
    <row r="2" spans="1:17">
      <c r="C2" s="648"/>
      <c r="Q2" s="10" t="s">
        <v>1053</v>
      </c>
    </row>
    <row r="3" spans="1:17">
      <c r="A3" s="927" t="s">
        <v>658</v>
      </c>
      <c r="B3" s="927"/>
      <c r="C3" s="927"/>
      <c r="D3" s="927"/>
      <c r="E3" s="927"/>
      <c r="F3" s="927"/>
      <c r="G3" s="927"/>
      <c r="H3" s="927"/>
      <c r="I3" s="927"/>
      <c r="J3" s="927"/>
      <c r="K3" s="927"/>
      <c r="L3" s="927"/>
      <c r="M3" s="927"/>
      <c r="N3" s="927"/>
      <c r="O3" s="927"/>
      <c r="P3" s="927"/>
      <c r="Q3" s="927"/>
    </row>
    <row r="4" spans="1:17">
      <c r="B4" s="73"/>
      <c r="C4" s="606"/>
      <c r="D4" s="73"/>
      <c r="E4" s="73"/>
      <c r="F4" s="73"/>
      <c r="G4" s="73"/>
      <c r="H4" s="73"/>
      <c r="I4" s="73"/>
      <c r="J4" s="73"/>
      <c r="K4" s="73"/>
      <c r="L4" s="73"/>
      <c r="M4" s="73"/>
      <c r="N4" s="73"/>
    </row>
    <row r="5" spans="1:17">
      <c r="B5" s="73"/>
      <c r="C5" s="606"/>
      <c r="D5" s="73"/>
      <c r="E5" s="73"/>
      <c r="F5" s="73"/>
      <c r="G5" s="73"/>
      <c r="H5" s="73"/>
      <c r="I5" s="73"/>
      <c r="J5" s="73"/>
      <c r="K5" s="73"/>
      <c r="L5" s="73"/>
      <c r="M5" s="73"/>
      <c r="N5" s="73"/>
    </row>
    <row r="6" spans="1:17">
      <c r="A6" s="927" t="s">
        <v>1054</v>
      </c>
      <c r="B6" s="927"/>
      <c r="C6" s="927"/>
      <c r="D6" s="927"/>
      <c r="E6" s="927"/>
      <c r="F6" s="927"/>
      <c r="G6" s="927"/>
      <c r="H6" s="927"/>
      <c r="I6" s="927"/>
      <c r="J6" s="927"/>
      <c r="K6" s="927"/>
      <c r="L6" s="927"/>
      <c r="M6" s="927"/>
      <c r="N6" s="927"/>
      <c r="O6" s="927"/>
      <c r="P6" s="927"/>
      <c r="Q6" s="927"/>
    </row>
    <row r="7" spans="1:17">
      <c r="A7" s="927" t="s">
        <v>765</v>
      </c>
      <c r="B7" s="927"/>
      <c r="C7" s="927"/>
      <c r="D7" s="927"/>
      <c r="E7" s="927"/>
      <c r="F7" s="927"/>
      <c r="G7" s="927"/>
      <c r="H7" s="927"/>
      <c r="I7" s="927"/>
      <c r="J7" s="927"/>
      <c r="K7" s="927"/>
      <c r="L7" s="927"/>
      <c r="M7" s="927"/>
      <c r="N7" s="927"/>
      <c r="O7" s="927"/>
      <c r="P7" s="927"/>
      <c r="Q7" s="927"/>
    </row>
    <row r="10" spans="1:17">
      <c r="A10" s="927" t="s">
        <v>1055</v>
      </c>
      <c r="B10" s="927"/>
      <c r="C10" s="927"/>
      <c r="D10" s="927"/>
      <c r="E10" s="927"/>
      <c r="F10" s="927"/>
      <c r="G10" s="927"/>
      <c r="H10" s="927"/>
      <c r="I10" s="927"/>
      <c r="J10" s="927"/>
      <c r="K10" s="927"/>
      <c r="L10" s="927"/>
      <c r="M10" s="927"/>
      <c r="N10" s="927"/>
      <c r="O10" s="927"/>
      <c r="P10" s="927"/>
      <c r="Q10" s="927"/>
    </row>
  </sheetData>
  <mergeCells count="4">
    <mergeCell ref="A3:Q3"/>
    <mergeCell ref="A6:Q6"/>
    <mergeCell ref="A7:Q7"/>
    <mergeCell ref="A10:Q10"/>
  </mergeCells>
  <pageMargins left="0.7" right="0.7" top="0.75" bottom="0.75" header="0.3" footer="0.3"/>
  <pageSetup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17"/>
    <pageSetUpPr fitToPage="1"/>
  </sheetPr>
  <dimension ref="A1:O46"/>
  <sheetViews>
    <sheetView zoomScaleNormal="100" workbookViewId="0">
      <selection activeCell="A4" sqref="A4:N4"/>
    </sheetView>
  </sheetViews>
  <sheetFormatPr defaultRowHeight="12.75"/>
  <cols>
    <col min="1" max="1" width="4.42578125" bestFit="1" customWidth="1"/>
    <col min="2" max="2" width="54.85546875" customWidth="1"/>
    <col min="3" max="3" width="14.5703125" hidden="1" customWidth="1"/>
    <col min="4" max="4" width="10" bestFit="1" customWidth="1"/>
    <col min="5" max="5" width="10" hidden="1" customWidth="1"/>
    <col min="6" max="6" width="10" bestFit="1" customWidth="1"/>
    <col min="7" max="10" width="10" hidden="1" customWidth="1"/>
    <col min="11" max="11" width="11.28515625" hidden="1" customWidth="1"/>
    <col min="12" max="12" width="21.85546875" hidden="1" customWidth="1"/>
    <col min="13" max="13" width="12.140625" hidden="1" customWidth="1"/>
    <col min="14" max="14" width="11.85546875" customWidth="1"/>
    <col min="15" max="15" width="11.28515625" bestFit="1" customWidth="1"/>
  </cols>
  <sheetData>
    <row r="1" spans="1:15">
      <c r="N1" t="str">
        <f>A!D1</f>
        <v>Docket No. RP16-299-000</v>
      </c>
    </row>
    <row r="2" spans="1:15">
      <c r="A2" s="927"/>
      <c r="B2" s="927"/>
      <c r="C2" s="927"/>
      <c r="D2" s="927"/>
      <c r="E2" s="68"/>
      <c r="F2" s="68"/>
      <c r="N2" t="s">
        <v>211</v>
      </c>
    </row>
    <row r="3" spans="1:15">
      <c r="A3" s="927"/>
      <c r="B3" s="927"/>
      <c r="C3" s="927"/>
      <c r="D3" s="927"/>
      <c r="N3" t="s">
        <v>212</v>
      </c>
    </row>
    <row r="4" spans="1:15">
      <c r="A4" s="927" t="str">
        <f>'Sched B-1 Pg 2'!A4:H4</f>
        <v>Tuscarora Gas Transmission Company</v>
      </c>
      <c r="B4" s="927"/>
      <c r="C4" s="927"/>
      <c r="D4" s="927"/>
      <c r="E4" s="927"/>
      <c r="F4" s="927"/>
      <c r="G4" s="927"/>
      <c r="H4" s="927"/>
      <c r="I4" s="927"/>
      <c r="J4" s="927"/>
      <c r="K4" s="927"/>
      <c r="L4" s="927"/>
      <c r="M4" s="927"/>
      <c r="N4" s="927"/>
    </row>
    <row r="5" spans="1:15">
      <c r="A5" s="927" t="s">
        <v>659</v>
      </c>
      <c r="B5" s="927"/>
      <c r="C5" s="927"/>
      <c r="D5" s="927"/>
      <c r="E5" s="927"/>
      <c r="F5" s="927"/>
      <c r="G5" s="927"/>
      <c r="H5" s="927"/>
      <c r="I5" s="927"/>
      <c r="J5" s="927"/>
      <c r="K5" s="927"/>
      <c r="L5" s="927"/>
      <c r="M5" s="927"/>
      <c r="N5" s="927"/>
    </row>
    <row r="6" spans="1:15">
      <c r="A6" s="927" t="str">
        <f>A!A6:D6</f>
        <v>For the Twelve Months Ended December 31, 2015, As Adjusted</v>
      </c>
      <c r="B6" s="927"/>
      <c r="C6" s="927"/>
      <c r="D6" s="927"/>
      <c r="E6" s="927"/>
      <c r="F6" s="927"/>
      <c r="G6" s="927"/>
      <c r="H6" s="927"/>
      <c r="I6" s="927"/>
      <c r="J6" s="927"/>
      <c r="K6" s="927"/>
      <c r="L6" s="927"/>
      <c r="M6" s="927"/>
      <c r="N6" s="927"/>
    </row>
    <row r="7" spans="1:15">
      <c r="A7" s="2"/>
      <c r="B7" s="2"/>
      <c r="C7" s="2"/>
      <c r="D7" s="2"/>
      <c r="E7" s="2"/>
      <c r="F7" s="2"/>
      <c r="G7" s="2"/>
      <c r="H7" s="2"/>
      <c r="I7" s="2"/>
      <c r="J7" s="2"/>
      <c r="K7" s="2"/>
      <c r="L7" s="2"/>
      <c r="M7" s="2"/>
      <c r="N7" s="2"/>
    </row>
    <row r="8" spans="1:15">
      <c r="A8" s="2"/>
      <c r="B8" s="2"/>
      <c r="C8" s="2"/>
      <c r="D8" s="2"/>
      <c r="E8" s="2"/>
      <c r="F8" s="2"/>
      <c r="G8" s="2"/>
      <c r="H8" s="2"/>
      <c r="I8" s="2"/>
      <c r="J8" s="2"/>
      <c r="K8" s="2"/>
      <c r="L8" s="2"/>
      <c r="M8" s="2"/>
      <c r="N8" s="2"/>
    </row>
    <row r="9" spans="1:15">
      <c r="C9" s="2" t="s">
        <v>610</v>
      </c>
      <c r="D9" s="2" t="s">
        <v>349</v>
      </c>
      <c r="E9" s="132" t="s">
        <v>349</v>
      </c>
      <c r="F9" s="2"/>
      <c r="G9" s="2"/>
    </row>
    <row r="10" spans="1:15">
      <c r="C10" s="2" t="s">
        <v>611</v>
      </c>
      <c r="D10" s="2" t="s">
        <v>350</v>
      </c>
      <c r="E10" s="132" t="s">
        <v>350</v>
      </c>
      <c r="F10" s="2" t="s">
        <v>252</v>
      </c>
      <c r="G10" s="2" t="s">
        <v>215</v>
      </c>
      <c r="H10" s="2"/>
      <c r="I10" s="2" t="s">
        <v>233</v>
      </c>
      <c r="J10" s="2"/>
      <c r="K10" s="2" t="s">
        <v>236</v>
      </c>
      <c r="L10" s="72"/>
    </row>
    <row r="11" spans="1:15">
      <c r="C11" s="3" t="s">
        <v>17</v>
      </c>
      <c r="D11" s="3" t="s">
        <v>213</v>
      </c>
      <c r="E11" s="149" t="s">
        <v>214</v>
      </c>
      <c r="F11" s="3" t="s">
        <v>253</v>
      </c>
      <c r="G11" s="3" t="s">
        <v>232</v>
      </c>
      <c r="H11" s="3" t="s">
        <v>233</v>
      </c>
      <c r="I11" s="3" t="s">
        <v>234</v>
      </c>
      <c r="J11" s="3" t="s">
        <v>235</v>
      </c>
      <c r="K11" s="3" t="s">
        <v>249</v>
      </c>
      <c r="L11" s="304" t="s">
        <v>372</v>
      </c>
    </row>
    <row r="12" spans="1:15">
      <c r="A12" t="s">
        <v>352</v>
      </c>
      <c r="C12" s="3" t="s">
        <v>19</v>
      </c>
      <c r="D12" s="3" t="s">
        <v>19</v>
      </c>
      <c r="E12" s="149" t="s">
        <v>19</v>
      </c>
      <c r="F12" s="3" t="s">
        <v>19</v>
      </c>
      <c r="G12" s="3" t="s">
        <v>19</v>
      </c>
      <c r="H12" s="3" t="s">
        <v>19</v>
      </c>
      <c r="I12" s="3" t="s">
        <v>19</v>
      </c>
      <c r="J12" s="3" t="s">
        <v>19</v>
      </c>
      <c r="K12" s="3" t="s">
        <v>19</v>
      </c>
      <c r="L12" s="304" t="s">
        <v>373</v>
      </c>
      <c r="M12" s="3" t="s">
        <v>657</v>
      </c>
      <c r="N12" s="3" t="s">
        <v>368</v>
      </c>
    </row>
    <row r="13" spans="1:15">
      <c r="A13" s="1" t="s">
        <v>353</v>
      </c>
      <c r="B13" s="1" t="s">
        <v>354</v>
      </c>
      <c r="C13" s="3" t="s">
        <v>341</v>
      </c>
      <c r="D13" s="3" t="s">
        <v>341</v>
      </c>
      <c r="E13" s="149" t="s">
        <v>341</v>
      </c>
      <c r="F13" s="3" t="s">
        <v>341</v>
      </c>
      <c r="G13" s="3" t="s">
        <v>341</v>
      </c>
      <c r="H13" s="3" t="s">
        <v>341</v>
      </c>
      <c r="I13" s="3" t="s">
        <v>341</v>
      </c>
      <c r="J13" s="3" t="s">
        <v>341</v>
      </c>
      <c r="K13" s="3" t="s">
        <v>341</v>
      </c>
      <c r="L13" s="149" t="s">
        <v>18</v>
      </c>
      <c r="M13" s="3" t="s">
        <v>18</v>
      </c>
      <c r="N13" s="3" t="s">
        <v>341</v>
      </c>
    </row>
    <row r="14" spans="1:15">
      <c r="B14" s="2" t="s">
        <v>361</v>
      </c>
      <c r="C14" s="2" t="s">
        <v>362</v>
      </c>
      <c r="D14" s="2" t="s">
        <v>362</v>
      </c>
      <c r="E14" s="132" t="s">
        <v>366</v>
      </c>
      <c r="F14" s="620" t="s">
        <v>366</v>
      </c>
      <c r="G14" s="3" t="s">
        <v>379</v>
      </c>
      <c r="H14" s="2" t="s">
        <v>380</v>
      </c>
      <c r="I14" s="2" t="s">
        <v>403</v>
      </c>
      <c r="J14" s="2" t="s">
        <v>404</v>
      </c>
      <c r="K14" s="2" t="s">
        <v>351</v>
      </c>
      <c r="L14" s="132" t="s">
        <v>363</v>
      </c>
      <c r="M14" s="2" t="s">
        <v>379</v>
      </c>
      <c r="N14" s="2" t="s">
        <v>364</v>
      </c>
      <c r="O14" s="2"/>
    </row>
    <row r="15" spans="1:15">
      <c r="B15" s="4"/>
      <c r="C15" s="2" t="s">
        <v>365</v>
      </c>
      <c r="D15" s="2" t="s">
        <v>365</v>
      </c>
      <c r="E15" s="132" t="s">
        <v>365</v>
      </c>
      <c r="F15" s="2" t="s">
        <v>365</v>
      </c>
      <c r="G15" s="2" t="s">
        <v>365</v>
      </c>
      <c r="H15" s="2" t="s">
        <v>365</v>
      </c>
      <c r="I15" s="2" t="s">
        <v>365</v>
      </c>
      <c r="J15" s="2" t="s">
        <v>365</v>
      </c>
      <c r="K15" s="2" t="s">
        <v>365</v>
      </c>
      <c r="L15" s="72"/>
      <c r="N15" s="2" t="s">
        <v>365</v>
      </c>
    </row>
    <row r="16" spans="1:15">
      <c r="A16">
        <v>1</v>
      </c>
      <c r="B16" s="1" t="s">
        <v>200</v>
      </c>
      <c r="E16" s="72"/>
      <c r="L16" s="72"/>
    </row>
    <row r="17" spans="1:15">
      <c r="A17">
        <f>A16+1</f>
        <v>2</v>
      </c>
      <c r="B17" s="13" t="str">
        <f>'Title Input and Macros'!B16</f>
        <v>January</v>
      </c>
      <c r="C17" s="266"/>
      <c r="D17" s="593">
        <f>346248-53645</f>
        <v>292603</v>
      </c>
      <c r="E17" s="270">
        <v>0</v>
      </c>
      <c r="F17" s="266">
        <v>167351.49</v>
      </c>
      <c r="G17" s="266"/>
      <c r="H17" s="266"/>
      <c r="I17" s="266"/>
      <c r="J17" s="266"/>
      <c r="K17" s="266"/>
      <c r="L17" s="266">
        <v>0</v>
      </c>
      <c r="M17" s="266">
        <v>0</v>
      </c>
      <c r="N17" s="68">
        <f>SUM(C17:M17)</f>
        <v>459954.49</v>
      </c>
    </row>
    <row r="18" spans="1:15">
      <c r="A18" s="72">
        <f t="shared" ref="A18:A28" si="0">A17+1</f>
        <v>3</v>
      </c>
      <c r="B18" s="13" t="str">
        <f>'Title Input and Macros'!B17</f>
        <v>February</v>
      </c>
      <c r="C18" s="266"/>
      <c r="D18" s="593">
        <f>346248-53645</f>
        <v>292603</v>
      </c>
      <c r="E18" s="270">
        <v>0</v>
      </c>
      <c r="F18" s="266">
        <v>415600.97</v>
      </c>
      <c r="G18" s="266"/>
      <c r="H18" s="266"/>
      <c r="I18" s="266"/>
      <c r="J18" s="266"/>
      <c r="K18" s="266"/>
      <c r="L18" s="266">
        <v>0</v>
      </c>
      <c r="M18" s="266">
        <v>0</v>
      </c>
      <c r="N18" s="68">
        <f t="shared" ref="N18:N28" si="1">SUM(C18:M18)</f>
        <v>708203.97</v>
      </c>
    </row>
    <row r="19" spans="1:15">
      <c r="A19" s="72">
        <f t="shared" si="0"/>
        <v>4</v>
      </c>
      <c r="B19" s="13" t="str">
        <f>'Title Input and Macros'!B18</f>
        <v>March</v>
      </c>
      <c r="C19" s="266"/>
      <c r="D19" s="593">
        <f>344715-53645</f>
        <v>291070</v>
      </c>
      <c r="E19" s="270">
        <v>0</v>
      </c>
      <c r="F19" s="266">
        <v>99319.219999999972</v>
      </c>
      <c r="G19" s="266"/>
      <c r="H19" s="266"/>
      <c r="I19" s="266"/>
      <c r="J19" s="266"/>
      <c r="K19" s="266"/>
      <c r="L19" s="266">
        <v>0</v>
      </c>
      <c r="M19" s="266">
        <v>0</v>
      </c>
      <c r="N19" s="68">
        <f t="shared" si="1"/>
        <v>390389.22</v>
      </c>
    </row>
    <row r="20" spans="1:15">
      <c r="A20" s="72">
        <f t="shared" si="0"/>
        <v>5</v>
      </c>
      <c r="B20" s="13" t="str">
        <f>'Title Input and Macros'!B19</f>
        <v>April</v>
      </c>
      <c r="C20" s="266"/>
      <c r="D20" s="593">
        <f>344715-53645</f>
        <v>291070</v>
      </c>
      <c r="E20" s="270">
        <v>0</v>
      </c>
      <c r="F20" s="266">
        <v>0</v>
      </c>
      <c r="G20" s="266"/>
      <c r="H20" s="266"/>
      <c r="I20" s="266"/>
      <c r="J20" s="266"/>
      <c r="K20" s="266"/>
      <c r="L20" s="266">
        <v>0</v>
      </c>
      <c r="M20" s="266">
        <v>0</v>
      </c>
      <c r="N20" s="68">
        <f t="shared" si="1"/>
        <v>291070</v>
      </c>
    </row>
    <row r="21" spans="1:15">
      <c r="A21" s="72">
        <f t="shared" si="0"/>
        <v>6</v>
      </c>
      <c r="B21" s="13" t="str">
        <f>'Title Input and Macros'!B20</f>
        <v>May</v>
      </c>
      <c r="C21" s="266"/>
      <c r="D21" s="593">
        <f>344715-53645</f>
        <v>291070</v>
      </c>
      <c r="E21" s="270">
        <v>0</v>
      </c>
      <c r="F21" s="266">
        <v>0</v>
      </c>
      <c r="G21" s="266"/>
      <c r="H21" s="266"/>
      <c r="I21" s="266"/>
      <c r="J21" s="266"/>
      <c r="K21" s="266"/>
      <c r="L21" s="266">
        <v>0</v>
      </c>
      <c r="M21" s="266">
        <v>0</v>
      </c>
      <c r="N21" s="68">
        <f t="shared" si="1"/>
        <v>291070</v>
      </c>
    </row>
    <row r="22" spans="1:15">
      <c r="A22" s="72">
        <f t="shared" si="0"/>
        <v>7</v>
      </c>
      <c r="B22" s="13" t="str">
        <f>'Title Input and Macros'!B21</f>
        <v>June</v>
      </c>
      <c r="C22" s="266"/>
      <c r="D22" s="593">
        <f>343600-53645</f>
        <v>289955</v>
      </c>
      <c r="E22" s="270">
        <v>0</v>
      </c>
      <c r="F22" s="266">
        <v>0</v>
      </c>
      <c r="G22" s="266"/>
      <c r="H22" s="266"/>
      <c r="I22" s="266"/>
      <c r="J22" s="266"/>
      <c r="K22" s="266"/>
      <c r="L22" s="266">
        <v>0</v>
      </c>
      <c r="M22" s="266">
        <v>0</v>
      </c>
      <c r="N22" s="68">
        <f t="shared" si="1"/>
        <v>289955</v>
      </c>
    </row>
    <row r="23" spans="1:15">
      <c r="A23" s="72">
        <f t="shared" si="0"/>
        <v>8</v>
      </c>
      <c r="B23" s="13" t="str">
        <f>'Title Input and Macros'!B22</f>
        <v>July</v>
      </c>
      <c r="C23" s="266"/>
      <c r="D23" s="593">
        <f>343600-53645</f>
        <v>289955</v>
      </c>
      <c r="E23" s="270">
        <v>0</v>
      </c>
      <c r="F23" s="266">
        <v>0</v>
      </c>
      <c r="G23" s="266"/>
      <c r="H23" s="266"/>
      <c r="I23" s="266"/>
      <c r="J23" s="266"/>
      <c r="K23" s="266"/>
      <c r="L23" s="266">
        <v>0</v>
      </c>
      <c r="M23" s="266">
        <v>0</v>
      </c>
      <c r="N23" s="68">
        <f t="shared" si="1"/>
        <v>289955</v>
      </c>
    </row>
    <row r="24" spans="1:15">
      <c r="A24" s="72">
        <f t="shared" si="0"/>
        <v>9</v>
      </c>
      <c r="B24" s="13" t="str">
        <f>'Title Input and Macros'!B23</f>
        <v>August</v>
      </c>
      <c r="C24" s="266"/>
      <c r="D24" s="593">
        <f>343600-53645</f>
        <v>289955</v>
      </c>
      <c r="E24" s="270">
        <v>0</v>
      </c>
      <c r="F24" s="266">
        <v>0</v>
      </c>
      <c r="G24" s="266"/>
      <c r="H24" s="266"/>
      <c r="I24" s="266"/>
      <c r="J24" s="266"/>
      <c r="K24" s="266"/>
      <c r="L24" s="266">
        <v>0</v>
      </c>
      <c r="M24" s="266">
        <v>0</v>
      </c>
      <c r="N24" s="68">
        <f t="shared" si="1"/>
        <v>289955</v>
      </c>
    </row>
    <row r="25" spans="1:15">
      <c r="A25" s="72">
        <f t="shared" si="0"/>
        <v>10</v>
      </c>
      <c r="B25" s="13" t="str">
        <f>'Title Input and Macros'!B24</f>
        <v>September</v>
      </c>
      <c r="C25" s="266"/>
      <c r="D25" s="593">
        <f>344280-53645</f>
        <v>290635</v>
      </c>
      <c r="E25" s="270">
        <v>0</v>
      </c>
      <c r="F25" s="266">
        <v>0</v>
      </c>
      <c r="G25" s="266"/>
      <c r="H25" s="266"/>
      <c r="I25" s="266"/>
      <c r="J25" s="266"/>
      <c r="K25" s="266"/>
      <c r="L25" s="266">
        <v>0</v>
      </c>
      <c r="M25" s="266">
        <v>0</v>
      </c>
      <c r="N25" s="68">
        <f t="shared" si="1"/>
        <v>290635</v>
      </c>
    </row>
    <row r="26" spans="1:15">
      <c r="A26" s="72">
        <f t="shared" si="0"/>
        <v>11</v>
      </c>
      <c r="B26" s="13" t="str">
        <f>'Title Input and Macros'!B25</f>
        <v>October</v>
      </c>
      <c r="C26" s="266"/>
      <c r="D26" s="593">
        <f>344280-53645</f>
        <v>290635</v>
      </c>
      <c r="E26" s="270">
        <v>0</v>
      </c>
      <c r="F26" s="266">
        <v>0</v>
      </c>
      <c r="G26" s="266"/>
      <c r="H26" s="266"/>
      <c r="I26" s="266"/>
      <c r="J26" s="266"/>
      <c r="K26" s="266"/>
      <c r="L26" s="266">
        <v>0</v>
      </c>
      <c r="M26" s="266">
        <v>0</v>
      </c>
      <c r="N26" s="68">
        <f t="shared" si="1"/>
        <v>290635</v>
      </c>
    </row>
    <row r="27" spans="1:15">
      <c r="A27" s="72">
        <f t="shared" si="0"/>
        <v>12</v>
      </c>
      <c r="B27" s="13" t="str">
        <f>'Title Input and Macros'!B26</f>
        <v>November</v>
      </c>
      <c r="C27" s="273"/>
      <c r="D27" s="593">
        <f>344280-53645</f>
        <v>290635</v>
      </c>
      <c r="E27" s="270">
        <v>0</v>
      </c>
      <c r="F27" s="266">
        <v>0</v>
      </c>
      <c r="G27" s="266"/>
      <c r="H27" s="266"/>
      <c r="I27" s="266"/>
      <c r="J27" s="266"/>
      <c r="K27" s="266"/>
      <c r="L27" s="266">
        <v>0</v>
      </c>
      <c r="M27" s="266">
        <v>0</v>
      </c>
      <c r="N27" s="68">
        <f t="shared" si="1"/>
        <v>290635</v>
      </c>
    </row>
    <row r="28" spans="1:15">
      <c r="A28">
        <f t="shared" si="0"/>
        <v>13</v>
      </c>
      <c r="B28" s="13" t="str">
        <f>'Title Input and Macros'!B27</f>
        <v>December</v>
      </c>
      <c r="C28" s="274"/>
      <c r="D28" s="595">
        <f>345763-53645</f>
        <v>292118</v>
      </c>
      <c r="E28" s="332">
        <v>0</v>
      </c>
      <c r="F28" s="272">
        <v>400982</v>
      </c>
      <c r="G28" s="272"/>
      <c r="H28" s="272"/>
      <c r="I28" s="272"/>
      <c r="J28" s="272"/>
      <c r="K28" s="272"/>
      <c r="L28" s="272">
        <v>0</v>
      </c>
      <c r="M28" s="272">
        <v>0</v>
      </c>
      <c r="N28" s="145">
        <f t="shared" si="1"/>
        <v>693100</v>
      </c>
    </row>
    <row r="29" spans="1:15" ht="7.5" customHeight="1">
      <c r="B29" s="13"/>
      <c r="C29" s="68"/>
      <c r="D29" s="68"/>
      <c r="E29" s="106"/>
      <c r="F29" s="68"/>
      <c r="G29" s="68"/>
      <c r="H29" s="68"/>
      <c r="I29" s="68"/>
      <c r="J29" s="68"/>
      <c r="K29" s="68"/>
      <c r="N29" s="68"/>
    </row>
    <row r="30" spans="1:15">
      <c r="A30">
        <f>A28+1</f>
        <v>14</v>
      </c>
      <c r="B30" t="s">
        <v>76</v>
      </c>
      <c r="C30" s="266">
        <v>0</v>
      </c>
      <c r="D30" s="269">
        <v>32097</v>
      </c>
      <c r="E30" s="269">
        <v>0</v>
      </c>
      <c r="F30" s="269"/>
      <c r="G30" s="269">
        <v>0</v>
      </c>
      <c r="H30" s="269">
        <v>0</v>
      </c>
      <c r="I30" s="269">
        <v>0</v>
      </c>
      <c r="J30" s="106">
        <v>0</v>
      </c>
      <c r="K30" s="106">
        <v>0</v>
      </c>
      <c r="L30" s="269">
        <v>0</v>
      </c>
      <c r="M30" s="68"/>
      <c r="N30" s="68">
        <f>SUM(C30:M30)</f>
        <v>32097</v>
      </c>
    </row>
    <row r="31" spans="1:15">
      <c r="B31" t="s">
        <v>821</v>
      </c>
      <c r="C31" s="68">
        <v>0</v>
      </c>
      <c r="D31" s="106">
        <f t="shared" ref="D31:K31" si="2">+D28+D30</f>
        <v>324215</v>
      </c>
      <c r="E31" s="68">
        <f t="shared" si="2"/>
        <v>0</v>
      </c>
      <c r="F31" s="106">
        <f t="shared" si="2"/>
        <v>400982</v>
      </c>
      <c r="G31" s="106">
        <f t="shared" si="2"/>
        <v>0</v>
      </c>
      <c r="H31" s="106">
        <f t="shared" si="2"/>
        <v>0</v>
      </c>
      <c r="I31" s="106">
        <f t="shared" si="2"/>
        <v>0</v>
      </c>
      <c r="J31" s="106">
        <f t="shared" si="2"/>
        <v>0</v>
      </c>
      <c r="K31" s="106">
        <f t="shared" si="2"/>
        <v>0</v>
      </c>
      <c r="L31" s="106">
        <f>L30</f>
        <v>0</v>
      </c>
      <c r="M31" s="68"/>
      <c r="N31" s="68">
        <f>SUM(C31:M31)</f>
        <v>725197</v>
      </c>
      <c r="O31" s="68"/>
    </row>
    <row r="32" spans="1:15" ht="12" customHeight="1">
      <c r="A32">
        <f>+A30+1</f>
        <v>15</v>
      </c>
      <c r="B32" t="s">
        <v>444</v>
      </c>
      <c r="C32" s="266">
        <v>0</v>
      </c>
      <c r="D32" s="106">
        <f>D31</f>
        <v>324215</v>
      </c>
      <c r="E32" s="106">
        <v>0</v>
      </c>
      <c r="F32" s="106">
        <f>F31</f>
        <v>400982</v>
      </c>
      <c r="G32" s="106"/>
      <c r="H32" s="106">
        <f>+H31</f>
        <v>0</v>
      </c>
      <c r="I32" s="106"/>
      <c r="J32" s="106"/>
      <c r="K32" s="106">
        <f>+K31</f>
        <v>0</v>
      </c>
      <c r="L32" s="72"/>
      <c r="N32" s="68">
        <f>SUM(C32:M32)</f>
        <v>725197</v>
      </c>
    </row>
    <row r="33" spans="1:14" ht="13.5" thickBot="1">
      <c r="A33">
        <f>+A32+1</f>
        <v>16</v>
      </c>
      <c r="B33" t="s">
        <v>305</v>
      </c>
      <c r="C33" s="150">
        <f>+C31-C32</f>
        <v>0</v>
      </c>
      <c r="D33" s="150">
        <f>+D31-D32</f>
        <v>0</v>
      </c>
      <c r="E33" s="150">
        <f>+E31-E32</f>
        <v>0</v>
      </c>
      <c r="F33" s="150">
        <f t="shared" ref="F33:M33" si="3">+F31-F32</f>
        <v>0</v>
      </c>
      <c r="G33" s="150">
        <f t="shared" si="3"/>
        <v>0</v>
      </c>
      <c r="H33" s="150">
        <f t="shared" si="3"/>
        <v>0</v>
      </c>
      <c r="I33" s="150">
        <f t="shared" si="3"/>
        <v>0</v>
      </c>
      <c r="J33" s="150">
        <f t="shared" si="3"/>
        <v>0</v>
      </c>
      <c r="K33" s="150">
        <f t="shared" si="3"/>
        <v>0</v>
      </c>
      <c r="L33" s="150">
        <f t="shared" si="3"/>
        <v>0</v>
      </c>
      <c r="M33" s="150">
        <f t="shared" si="3"/>
        <v>0</v>
      </c>
      <c r="N33" s="150">
        <f>+N31-N32</f>
        <v>0</v>
      </c>
    </row>
    <row r="34" spans="1:14" ht="13.5" thickTop="1">
      <c r="A34" s="72"/>
      <c r="B34" s="72"/>
      <c r="C34" s="68"/>
      <c r="D34" s="68"/>
      <c r="E34" s="106"/>
      <c r="F34" s="106"/>
      <c r="G34" s="106"/>
      <c r="H34" s="106"/>
      <c r="I34" s="106"/>
      <c r="J34" s="106"/>
      <c r="K34" s="106"/>
      <c r="L34" s="72"/>
      <c r="N34" s="68"/>
    </row>
    <row r="35" spans="1:14">
      <c r="A35" s="208" t="s">
        <v>1070</v>
      </c>
      <c r="B35" s="201"/>
      <c r="C35" s="127"/>
      <c r="D35" s="232"/>
      <c r="E35" s="233"/>
      <c r="F35" s="73"/>
      <c r="H35" s="68"/>
    </row>
    <row r="36" spans="1:14" ht="13.5" customHeight="1">
      <c r="A36" s="201"/>
      <c r="B36" s="201"/>
      <c r="C36" s="127"/>
      <c r="D36" s="73"/>
      <c r="E36" s="73"/>
      <c r="F36" s="73"/>
      <c r="H36" s="68"/>
    </row>
    <row r="37" spans="1:14">
      <c r="A37" s="208"/>
      <c r="B37" s="201"/>
      <c r="C37" s="127"/>
      <c r="D37" s="73"/>
      <c r="E37" s="73"/>
      <c r="F37" s="73"/>
    </row>
    <row r="38" spans="1:14" ht="11.25" customHeight="1">
      <c r="A38" s="201"/>
      <c r="B38" s="201"/>
      <c r="C38" s="127"/>
      <c r="D38" s="73"/>
      <c r="E38" s="73"/>
      <c r="F38" s="73"/>
    </row>
    <row r="39" spans="1:14">
      <c r="A39" s="201"/>
      <c r="B39" s="234"/>
      <c r="C39" s="127"/>
      <c r="D39" s="73"/>
      <c r="E39" s="73"/>
      <c r="F39" s="73"/>
    </row>
    <row r="40" spans="1:14">
      <c r="A40" s="201"/>
      <c r="B40" s="234"/>
      <c r="C40" s="127"/>
      <c r="D40" s="73"/>
      <c r="E40" s="73"/>
      <c r="F40" s="73"/>
    </row>
    <row r="41" spans="1:14">
      <c r="A41" s="201"/>
      <c r="B41" s="234"/>
      <c r="C41" s="127"/>
      <c r="D41" s="73"/>
      <c r="E41" s="73"/>
      <c r="F41" s="73"/>
    </row>
    <row r="42" spans="1:14">
      <c r="A42" s="201"/>
      <c r="B42" s="234"/>
      <c r="C42" s="127"/>
      <c r="D42" s="73"/>
      <c r="E42" s="73"/>
      <c r="F42" s="73"/>
    </row>
    <row r="43" spans="1:14">
      <c r="A43" s="201"/>
      <c r="B43" s="201"/>
      <c r="C43" s="127"/>
      <c r="D43" s="73"/>
      <c r="E43" s="73"/>
      <c r="F43" s="73"/>
    </row>
    <row r="44" spans="1:14">
      <c r="A44" s="201"/>
      <c r="B44" s="201"/>
      <c r="C44" s="73"/>
      <c r="D44" s="73"/>
      <c r="E44" s="73"/>
      <c r="F44" s="73"/>
    </row>
    <row r="45" spans="1:14">
      <c r="A45" s="10"/>
    </row>
    <row r="46" spans="1:14">
      <c r="A46" s="10"/>
    </row>
  </sheetData>
  <dataConsolidate/>
  <mergeCells count="5">
    <mergeCell ref="A6:N6"/>
    <mergeCell ref="A3:D3"/>
    <mergeCell ref="A2:D2"/>
    <mergeCell ref="A5:N5"/>
    <mergeCell ref="A4:N4"/>
  </mergeCells>
  <phoneticPr fontId="5" type="noConversion"/>
  <pageMargins left="0.75" right="0.75" top="1" bottom="1" header="0.5" footer="0.5"/>
  <pageSetup scale="86"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Q10"/>
  <sheetViews>
    <sheetView workbookViewId="0">
      <selection sqref="A1:XFD5"/>
    </sheetView>
  </sheetViews>
  <sheetFormatPr defaultRowHeight="12.75"/>
  <sheetData>
    <row r="1" spans="1:17">
      <c r="C1" s="648"/>
      <c r="Q1" s="10" t="s">
        <v>756</v>
      </c>
    </row>
    <row r="2" spans="1:17">
      <c r="C2" s="648"/>
      <c r="Q2" s="10" t="s">
        <v>1056</v>
      </c>
    </row>
    <row r="3" spans="1:17">
      <c r="A3" s="927" t="s">
        <v>658</v>
      </c>
      <c r="B3" s="927"/>
      <c r="C3" s="927"/>
      <c r="D3" s="927"/>
      <c r="E3" s="927"/>
      <c r="F3" s="927"/>
      <c r="G3" s="927"/>
      <c r="H3" s="927"/>
      <c r="I3" s="927"/>
      <c r="J3" s="927"/>
      <c r="K3" s="927"/>
      <c r="L3" s="927"/>
      <c r="M3" s="927"/>
      <c r="N3" s="927"/>
      <c r="O3" s="927"/>
      <c r="P3" s="927"/>
      <c r="Q3" s="927"/>
    </row>
    <row r="4" spans="1:17">
      <c r="B4" s="73"/>
      <c r="C4" s="606"/>
      <c r="D4" s="73"/>
      <c r="E4" s="73"/>
      <c r="F4" s="73"/>
      <c r="G4" s="73"/>
      <c r="H4" s="73"/>
      <c r="I4" s="73"/>
      <c r="J4" s="73"/>
      <c r="K4" s="73"/>
      <c r="L4" s="73"/>
      <c r="M4" s="73"/>
      <c r="N4" s="73"/>
    </row>
    <row r="5" spans="1:17">
      <c r="B5" s="73"/>
      <c r="C5" s="606"/>
      <c r="D5" s="73"/>
      <c r="E5" s="73"/>
      <c r="F5" s="73"/>
      <c r="G5" s="73"/>
      <c r="H5" s="73"/>
      <c r="I5" s="73"/>
      <c r="J5" s="73"/>
      <c r="K5" s="73"/>
      <c r="L5" s="73"/>
      <c r="M5" s="73"/>
      <c r="N5" s="73"/>
    </row>
    <row r="6" spans="1:17">
      <c r="A6" s="927" t="s">
        <v>1057</v>
      </c>
      <c r="B6" s="927"/>
      <c r="C6" s="927"/>
      <c r="D6" s="927"/>
      <c r="E6" s="927"/>
      <c r="F6" s="927"/>
      <c r="G6" s="927"/>
      <c r="H6" s="927"/>
      <c r="I6" s="927"/>
      <c r="J6" s="927"/>
      <c r="K6" s="927"/>
      <c r="L6" s="927"/>
      <c r="M6" s="927"/>
      <c r="N6" s="927"/>
      <c r="O6" s="927"/>
      <c r="P6" s="927"/>
      <c r="Q6" s="927"/>
    </row>
    <row r="7" spans="1:17">
      <c r="A7" s="927" t="s">
        <v>765</v>
      </c>
      <c r="B7" s="927"/>
      <c r="C7" s="927"/>
      <c r="D7" s="927"/>
      <c r="E7" s="927"/>
      <c r="F7" s="927"/>
      <c r="G7" s="927"/>
      <c r="H7" s="927"/>
      <c r="I7" s="927"/>
      <c r="J7" s="927"/>
      <c r="K7" s="927"/>
      <c r="L7" s="927"/>
      <c r="M7" s="927"/>
      <c r="N7" s="927"/>
      <c r="O7" s="927"/>
      <c r="P7" s="927"/>
      <c r="Q7" s="927"/>
    </row>
    <row r="10" spans="1:17">
      <c r="A10" s="927" t="s">
        <v>1055</v>
      </c>
      <c r="B10" s="927"/>
      <c r="C10" s="927"/>
      <c r="D10" s="927"/>
      <c r="E10" s="927"/>
      <c r="F10" s="927"/>
      <c r="G10" s="927"/>
      <c r="H10" s="927"/>
      <c r="I10" s="927"/>
      <c r="J10" s="927"/>
      <c r="K10" s="927"/>
      <c r="L10" s="927"/>
      <c r="M10" s="927"/>
      <c r="N10" s="927"/>
      <c r="O10" s="927"/>
      <c r="P10" s="927"/>
      <c r="Q10" s="927"/>
    </row>
  </sheetData>
  <mergeCells count="4">
    <mergeCell ref="A3:Q3"/>
    <mergeCell ref="A6:Q6"/>
    <mergeCell ref="A7:Q7"/>
    <mergeCell ref="A10:Q10"/>
  </mergeCells>
  <pageMargins left="0.7" right="0.7" top="0.75" bottom="0.75" header="0.3" footer="0.3"/>
  <pageSetup scale="80"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I44"/>
  <sheetViews>
    <sheetView workbookViewId="0">
      <selection activeCell="A6" sqref="A6"/>
    </sheetView>
  </sheetViews>
  <sheetFormatPr defaultRowHeight="12.75"/>
  <cols>
    <col min="1" max="1" width="5.7109375" style="648" customWidth="1"/>
    <col min="2" max="2" width="2.7109375" customWidth="1"/>
    <col min="3" max="3" width="69.42578125" customWidth="1"/>
    <col min="4" max="4" width="2.7109375" customWidth="1"/>
    <col min="5" max="5" width="15.7109375" customWidth="1"/>
    <col min="6" max="6" width="2.7109375" customWidth="1"/>
    <col min="7" max="7" width="15.7109375" customWidth="1"/>
    <col min="8" max="8" width="2.7109375" customWidth="1"/>
    <col min="9" max="9" width="15.7109375" customWidth="1"/>
  </cols>
  <sheetData>
    <row r="1" spans="1:9">
      <c r="I1" s="10" t="s">
        <v>756</v>
      </c>
    </row>
    <row r="2" spans="1:9">
      <c r="I2" s="10" t="s">
        <v>851</v>
      </c>
    </row>
    <row r="3" spans="1:9">
      <c r="A3" s="927" t="s">
        <v>852</v>
      </c>
      <c r="B3" s="927"/>
      <c r="C3" s="927"/>
      <c r="D3" s="927"/>
      <c r="E3" s="927"/>
      <c r="F3" s="927"/>
      <c r="G3" s="927"/>
      <c r="H3" s="927"/>
      <c r="I3" s="927"/>
    </row>
    <row r="4" spans="1:9">
      <c r="A4" s="927" t="s">
        <v>853</v>
      </c>
      <c r="B4" s="927"/>
      <c r="C4" s="927"/>
      <c r="D4" s="927"/>
      <c r="E4" s="927"/>
      <c r="F4" s="927"/>
      <c r="G4" s="927"/>
      <c r="H4" s="927"/>
      <c r="I4" s="927"/>
    </row>
    <row r="5" spans="1:9">
      <c r="A5" s="927" t="s">
        <v>1088</v>
      </c>
      <c r="B5" s="927"/>
      <c r="C5" s="927"/>
      <c r="D5" s="927"/>
      <c r="E5" s="927"/>
      <c r="F5" s="927"/>
      <c r="G5" s="927"/>
      <c r="H5" s="927"/>
      <c r="I5" s="927"/>
    </row>
    <row r="7" spans="1:9" ht="25.5">
      <c r="A7" s="649" t="s">
        <v>854</v>
      </c>
      <c r="C7" s="49" t="s">
        <v>354</v>
      </c>
      <c r="E7" s="49" t="s">
        <v>356</v>
      </c>
      <c r="G7" s="49" t="s">
        <v>855</v>
      </c>
      <c r="I7" s="49" t="s">
        <v>856</v>
      </c>
    </row>
    <row r="8" spans="1:9">
      <c r="C8" s="648" t="s">
        <v>361</v>
      </c>
      <c r="E8" s="648" t="s">
        <v>362</v>
      </c>
      <c r="G8" s="648" t="s">
        <v>366</v>
      </c>
      <c r="I8" s="648" t="s">
        <v>363</v>
      </c>
    </row>
    <row r="10" spans="1:9">
      <c r="C10" t="s">
        <v>857</v>
      </c>
    </row>
    <row r="11" spans="1:9">
      <c r="C11" t="s">
        <v>858</v>
      </c>
    </row>
    <row r="12" spans="1:9">
      <c r="A12" s="648">
        <v>1</v>
      </c>
      <c r="C12" t="s">
        <v>859</v>
      </c>
      <c r="E12" s="650">
        <f>G12+I12</f>
        <v>27764934.784700003</v>
      </c>
      <c r="F12" s="650"/>
      <c r="G12" s="650">
        <f>'G-2 '!Q468</f>
        <v>27639181.744000003</v>
      </c>
      <c r="H12" s="650"/>
      <c r="I12" s="650">
        <f>'G-2 '!U465+'G-2 '!U466</f>
        <v>125753.0407</v>
      </c>
    </row>
    <row r="13" spans="1:9">
      <c r="A13" s="648">
        <v>2</v>
      </c>
      <c r="C13" t="s">
        <v>860</v>
      </c>
      <c r="E13" s="650">
        <f>G13+I13</f>
        <v>214829.56949999998</v>
      </c>
      <c r="F13" s="650"/>
      <c r="G13" s="650">
        <v>0</v>
      </c>
      <c r="H13" s="650"/>
      <c r="I13" s="650">
        <f>'G-2 '!U467</f>
        <v>214829.56949999998</v>
      </c>
    </row>
    <row r="14" spans="1:9">
      <c r="A14" s="648">
        <v>3</v>
      </c>
      <c r="C14" t="s">
        <v>861</v>
      </c>
      <c r="E14" s="651">
        <f>SUM(E12:E13)</f>
        <v>27979764.354200002</v>
      </c>
      <c r="F14" s="650"/>
      <c r="G14" s="651">
        <f>SUM(G12:G13)</f>
        <v>27639181.744000003</v>
      </c>
      <c r="H14" s="650"/>
      <c r="I14" s="651">
        <f>SUM(I12:I13)</f>
        <v>340582.6102</v>
      </c>
    </row>
    <row r="18" spans="1:9">
      <c r="C18" t="s">
        <v>862</v>
      </c>
    </row>
    <row r="19" spans="1:9">
      <c r="A19" s="648">
        <v>4</v>
      </c>
      <c r="C19" t="s">
        <v>863</v>
      </c>
      <c r="E19" s="650">
        <f>'I-2'!I37</f>
        <v>2352921.1730999993</v>
      </c>
      <c r="F19" s="650"/>
      <c r="G19" s="650">
        <f>'I-2'!O37</f>
        <v>2224041.1501228353</v>
      </c>
      <c r="H19" s="650"/>
      <c r="I19" s="650">
        <f>'I-2'!Q37</f>
        <v>128880.02297716416</v>
      </c>
    </row>
    <row r="20" spans="1:9">
      <c r="A20" s="648">
        <v>5</v>
      </c>
      <c r="C20" t="s">
        <v>864</v>
      </c>
      <c r="E20" s="650">
        <f>'I-2'!I35</f>
        <v>5876230.9533389984</v>
      </c>
      <c r="F20" s="650"/>
      <c r="G20" s="650">
        <f>'I-2'!O35</f>
        <v>5876230.9533389984</v>
      </c>
      <c r="H20" s="650"/>
      <c r="I20" s="650">
        <v>0</v>
      </c>
    </row>
    <row r="21" spans="1:9">
      <c r="E21" s="650"/>
      <c r="F21" s="650"/>
      <c r="G21" s="650"/>
      <c r="H21" s="650"/>
      <c r="I21" s="650"/>
    </row>
    <row r="22" spans="1:9">
      <c r="A22" s="648">
        <v>6</v>
      </c>
      <c r="C22" t="s">
        <v>377</v>
      </c>
      <c r="E22" s="651">
        <f>E19+E20</f>
        <v>8229152.1264389977</v>
      </c>
      <c r="F22" s="650"/>
      <c r="G22" s="651">
        <f>G19+G20</f>
        <v>8100272.1034618337</v>
      </c>
      <c r="H22" s="650"/>
      <c r="I22" s="651">
        <f>I19+I20</f>
        <v>128880.02297716416</v>
      </c>
    </row>
    <row r="23" spans="1:9">
      <c r="E23" s="650"/>
      <c r="F23" s="650"/>
      <c r="G23" s="650"/>
      <c r="H23" s="650"/>
      <c r="I23" s="650"/>
    </row>
    <row r="24" spans="1:9">
      <c r="A24" s="648">
        <v>7</v>
      </c>
      <c r="C24" t="s">
        <v>382</v>
      </c>
      <c r="E24" s="650">
        <f>'I-2'!I39</f>
        <v>5727661.4714130005</v>
      </c>
      <c r="F24" s="650"/>
      <c r="G24" s="650">
        <f>E24</f>
        <v>5727661.4714130005</v>
      </c>
      <c r="H24" s="650"/>
      <c r="I24" s="650">
        <v>0</v>
      </c>
    </row>
    <row r="25" spans="1:9">
      <c r="E25" s="650"/>
      <c r="F25" s="650"/>
      <c r="G25" s="650"/>
      <c r="H25" s="650"/>
      <c r="I25" s="650"/>
    </row>
    <row r="26" spans="1:9">
      <c r="A26" s="648">
        <v>8</v>
      </c>
      <c r="C26" t="s">
        <v>865</v>
      </c>
      <c r="E26" s="650">
        <f>'I-2'!I45</f>
        <v>1179090</v>
      </c>
      <c r="F26" s="650"/>
      <c r="G26" s="650">
        <f>E26</f>
        <v>1179090</v>
      </c>
      <c r="H26" s="650"/>
      <c r="I26" s="650">
        <v>0</v>
      </c>
    </row>
    <row r="27" spans="1:9">
      <c r="E27" s="650"/>
      <c r="F27" s="650"/>
      <c r="G27" s="650"/>
      <c r="H27" s="650"/>
      <c r="I27" s="650"/>
    </row>
    <row r="28" spans="1:9">
      <c r="A28" s="648">
        <v>9</v>
      </c>
      <c r="C28" t="s">
        <v>866</v>
      </c>
      <c r="E28" s="650">
        <f>'I-2'!I47</f>
        <v>8232413.5835289722</v>
      </c>
      <c r="F28" s="650"/>
      <c r="G28" s="650">
        <f>E28</f>
        <v>8232413.5835289722</v>
      </c>
      <c r="H28" s="650"/>
      <c r="I28" s="650">
        <v>0</v>
      </c>
    </row>
    <row r="29" spans="1:9">
      <c r="E29" s="650"/>
      <c r="F29" s="650"/>
      <c r="G29" s="650"/>
      <c r="H29" s="650"/>
      <c r="I29" s="650"/>
    </row>
    <row r="30" spans="1:9" hidden="1">
      <c r="A30" s="648">
        <v>10</v>
      </c>
      <c r="C30" t="s">
        <v>867</v>
      </c>
      <c r="E30" s="650">
        <f>'I-2'!I42</f>
        <v>0</v>
      </c>
      <c r="F30" s="650"/>
      <c r="G30" s="650">
        <f>E30</f>
        <v>0</v>
      </c>
      <c r="H30" s="650"/>
      <c r="I30" s="650">
        <v>0</v>
      </c>
    </row>
    <row r="31" spans="1:9" hidden="1">
      <c r="E31" s="650"/>
      <c r="F31" s="650"/>
      <c r="G31" s="650"/>
      <c r="H31" s="650"/>
      <c r="I31" s="650"/>
    </row>
    <row r="32" spans="1:9" hidden="1">
      <c r="A32" s="648">
        <v>11</v>
      </c>
      <c r="C32" t="s">
        <v>868</v>
      </c>
      <c r="E32" s="650">
        <f>'I-2'!I43</f>
        <v>0</v>
      </c>
      <c r="F32" s="650"/>
      <c r="G32" s="650">
        <f>E32</f>
        <v>0</v>
      </c>
      <c r="H32" s="650"/>
      <c r="I32" s="650">
        <v>0</v>
      </c>
    </row>
    <row r="33" spans="1:9" s="72" customFormat="1">
      <c r="A33" s="874">
        <v>10</v>
      </c>
      <c r="C33" s="72" t="s">
        <v>1064</v>
      </c>
      <c r="E33" s="883">
        <f>'I-2'!I44</f>
        <v>4610026.5621045781</v>
      </c>
      <c r="F33" s="883"/>
      <c r="G33" s="883">
        <f>E33</f>
        <v>4610026.5621045781</v>
      </c>
      <c r="H33" s="883"/>
      <c r="I33" s="883">
        <v>0</v>
      </c>
    </row>
    <row r="34" spans="1:9" s="72" customFormat="1">
      <c r="A34" s="874"/>
      <c r="E34" s="883"/>
      <c r="F34" s="883"/>
      <c r="G34" s="883"/>
      <c r="H34" s="883"/>
      <c r="I34" s="883"/>
    </row>
    <row r="35" spans="1:9">
      <c r="A35" s="648">
        <v>11</v>
      </c>
      <c r="C35" t="s">
        <v>176</v>
      </c>
      <c r="E35" s="651">
        <f>SUM(E22:E33)</f>
        <v>27978343.743485551</v>
      </c>
      <c r="F35" s="650"/>
      <c r="G35" s="651">
        <f>SUM(G22:G33)</f>
        <v>27849463.720508385</v>
      </c>
      <c r="H35" s="650"/>
      <c r="I35" s="651">
        <f>SUM(I22:I33)</f>
        <v>128880.02297716416</v>
      </c>
    </row>
    <row r="37" spans="1:9" ht="13.5" thickBot="1">
      <c r="A37" s="648">
        <v>12</v>
      </c>
      <c r="C37" t="s">
        <v>1078</v>
      </c>
      <c r="E37" s="652">
        <f>E14-E35</f>
        <v>1420.6107144504786</v>
      </c>
      <c r="F37" s="653"/>
      <c r="G37" s="652">
        <f t="shared" ref="G37:I37" si="0">G14-G35</f>
        <v>-210281.97650838271</v>
      </c>
      <c r="H37" s="653"/>
      <c r="I37" s="652">
        <f t="shared" si="0"/>
        <v>211702.58722283583</v>
      </c>
    </row>
    <row r="38" spans="1:9" ht="13.5" thickTop="1"/>
    <row r="44" spans="1:9">
      <c r="C44" s="142" t="s">
        <v>869</v>
      </c>
    </row>
  </sheetData>
  <mergeCells count="3">
    <mergeCell ref="A3:I3"/>
    <mergeCell ref="A4:I4"/>
    <mergeCell ref="A5:I5"/>
  </mergeCells>
  <pageMargins left="0.7" right="0.7" top="0.75" bottom="0.75" header="0.3" footer="0.3"/>
  <pageSetup scale="93"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G24"/>
  <sheetViews>
    <sheetView zoomScaleNormal="100" zoomScaleSheetLayoutView="100" workbookViewId="0">
      <selection activeCell="E19" sqref="E19"/>
    </sheetView>
  </sheetViews>
  <sheetFormatPr defaultRowHeight="12.75"/>
  <cols>
    <col min="1" max="1" width="4.28515625" style="648" customWidth="1"/>
    <col min="2" max="2" width="2.7109375" customWidth="1"/>
    <col min="3" max="3" width="35.7109375" customWidth="1"/>
    <col min="4" max="4" width="2.7109375" customWidth="1"/>
    <col min="5" max="5" width="21" customWidth="1"/>
    <col min="6" max="6" width="2.7109375" customWidth="1"/>
    <col min="7" max="7" width="26.5703125" customWidth="1"/>
  </cols>
  <sheetData>
    <row r="1" spans="1:7">
      <c r="G1" s="10" t="s">
        <v>756</v>
      </c>
    </row>
    <row r="2" spans="1:7">
      <c r="G2" s="10" t="s">
        <v>870</v>
      </c>
    </row>
    <row r="3" spans="1:7">
      <c r="A3" s="927" t="s">
        <v>658</v>
      </c>
      <c r="B3" s="927"/>
      <c r="C3" s="927"/>
      <c r="D3" s="927"/>
      <c r="E3" s="927"/>
      <c r="F3" s="927"/>
      <c r="G3" s="927"/>
    </row>
    <row r="4" spans="1:7">
      <c r="A4" s="927" t="s">
        <v>871</v>
      </c>
      <c r="B4" s="927"/>
      <c r="C4" s="927"/>
      <c r="D4" s="927"/>
      <c r="E4" s="927"/>
      <c r="F4" s="927"/>
      <c r="G4" s="927"/>
    </row>
    <row r="5" spans="1:7">
      <c r="A5" s="927" t="s">
        <v>765</v>
      </c>
      <c r="B5" s="927"/>
      <c r="C5" s="927"/>
      <c r="D5" s="927"/>
      <c r="E5" s="927"/>
      <c r="F5" s="927"/>
      <c r="G5" s="927"/>
    </row>
    <row r="6" spans="1:7">
      <c r="B6" s="648"/>
      <c r="C6" s="648"/>
      <c r="D6" s="648"/>
      <c r="E6" s="648"/>
      <c r="F6" s="648"/>
      <c r="G6" s="648"/>
    </row>
    <row r="8" spans="1:7" ht="13.5" thickBot="1">
      <c r="E8" s="953" t="s">
        <v>872</v>
      </c>
      <c r="F8" s="953"/>
      <c r="G8" s="953"/>
    </row>
    <row r="9" spans="1:7" ht="38.25">
      <c r="A9" s="649" t="s">
        <v>854</v>
      </c>
      <c r="C9" s="49" t="s">
        <v>873</v>
      </c>
      <c r="E9" s="654" t="s">
        <v>874</v>
      </c>
      <c r="G9" s="654" t="s">
        <v>875</v>
      </c>
    </row>
    <row r="10" spans="1:7" s="648" customFormat="1">
      <c r="C10" s="648" t="s">
        <v>361</v>
      </c>
      <c r="E10" s="648" t="s">
        <v>362</v>
      </c>
      <c r="G10" s="648" t="s">
        <v>366</v>
      </c>
    </row>
    <row r="12" spans="1:7">
      <c r="A12" s="648">
        <v>1</v>
      </c>
      <c r="C12" t="s">
        <v>876</v>
      </c>
      <c r="E12" s="230">
        <f>'G-2 '!K468/12</f>
        <v>230584</v>
      </c>
      <c r="G12" s="483">
        <f>E12</f>
        <v>230584</v>
      </c>
    </row>
    <row r="13" spans="1:7">
      <c r="A13" s="648">
        <v>2</v>
      </c>
      <c r="C13" t="s">
        <v>877</v>
      </c>
      <c r="E13" s="230">
        <f>E23/365</f>
        <v>1775.4876712328767</v>
      </c>
      <c r="G13" s="483">
        <f>E13</f>
        <v>1775.4876712328767</v>
      </c>
    </row>
    <row r="14" spans="1:7">
      <c r="A14" s="648">
        <v>3</v>
      </c>
      <c r="C14" t="s">
        <v>356</v>
      </c>
      <c r="E14" s="640">
        <f>SUM(E12:E13)</f>
        <v>232359.48767123287</v>
      </c>
      <c r="G14" s="640">
        <f>SUM(G12:G13)</f>
        <v>232359.48767123287</v>
      </c>
    </row>
    <row r="18" spans="1:7" ht="13.5" thickBot="1">
      <c r="E18" s="953" t="s">
        <v>1080</v>
      </c>
      <c r="F18" s="953"/>
      <c r="G18" s="953"/>
    </row>
    <row r="20" spans="1:7">
      <c r="E20" s="49" t="s">
        <v>874</v>
      </c>
      <c r="G20" s="49" t="s">
        <v>875</v>
      </c>
    </row>
    <row r="22" spans="1:7">
      <c r="A22" s="648">
        <v>4</v>
      </c>
      <c r="C22" t="s">
        <v>876</v>
      </c>
      <c r="E22" s="230">
        <f>'G-2 '!M465+'G-2 '!M466</f>
        <v>40572187</v>
      </c>
      <c r="G22" s="483">
        <f>E22</f>
        <v>40572187</v>
      </c>
    </row>
    <row r="23" spans="1:7">
      <c r="A23" s="648">
        <v>5</v>
      </c>
      <c r="C23" t="s">
        <v>877</v>
      </c>
      <c r="E23" s="230">
        <f>'G-2 '!M467</f>
        <v>648053</v>
      </c>
      <c r="G23" s="483">
        <f>E23</f>
        <v>648053</v>
      </c>
    </row>
    <row r="24" spans="1:7">
      <c r="A24" s="648">
        <v>6</v>
      </c>
      <c r="C24" t="s">
        <v>356</v>
      </c>
      <c r="E24" s="640">
        <f>SUM(E22:E23)</f>
        <v>41220240</v>
      </c>
      <c r="G24" s="640">
        <f>SUM(G22:G23)</f>
        <v>41220240</v>
      </c>
    </row>
  </sheetData>
  <mergeCells count="5">
    <mergeCell ref="A3:G3"/>
    <mergeCell ref="A4:G4"/>
    <mergeCell ref="A5:G5"/>
    <mergeCell ref="E8:G8"/>
    <mergeCell ref="E18:G18"/>
  </mergeCells>
  <pageMargins left="0.7" right="0.7" top="0.75" bottom="0.75" header="0.3" footer="0.3"/>
  <pageSetup scale="96"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K28"/>
  <sheetViews>
    <sheetView workbookViewId="0">
      <selection activeCell="G19" sqref="G19"/>
    </sheetView>
  </sheetViews>
  <sheetFormatPr defaultRowHeight="12.75"/>
  <cols>
    <col min="1" max="1" width="4.85546875" style="648" customWidth="1"/>
    <col min="2" max="2" width="2.7109375" customWidth="1"/>
    <col min="3" max="3" width="50.140625" customWidth="1"/>
    <col min="4" max="4" width="2.7109375" customWidth="1"/>
    <col min="5" max="5" width="25.7109375" customWidth="1"/>
    <col min="6" max="6" width="2.7109375" customWidth="1"/>
    <col min="7" max="7" width="19.7109375" customWidth="1"/>
    <col min="8" max="8" width="2.7109375" customWidth="1"/>
    <col min="9" max="9" width="19.7109375" customWidth="1"/>
    <col min="10" max="10" width="2.7109375" customWidth="1"/>
    <col min="11" max="11" width="19.7109375" customWidth="1"/>
  </cols>
  <sheetData>
    <row r="1" spans="1:11">
      <c r="K1" s="10" t="s">
        <v>756</v>
      </c>
    </row>
    <row r="2" spans="1:11">
      <c r="K2" s="10" t="s">
        <v>878</v>
      </c>
    </row>
    <row r="3" spans="1:11">
      <c r="A3" s="927" t="s">
        <v>658</v>
      </c>
      <c r="B3" s="927"/>
      <c r="C3" s="927"/>
      <c r="D3" s="927"/>
      <c r="E3" s="927"/>
      <c r="F3" s="927"/>
      <c r="G3" s="927"/>
      <c r="H3" s="927"/>
      <c r="I3" s="927"/>
      <c r="J3" s="927"/>
      <c r="K3" s="927"/>
    </row>
    <row r="4" spans="1:11">
      <c r="A4" s="927" t="s">
        <v>879</v>
      </c>
      <c r="B4" s="927"/>
      <c r="C4" s="927"/>
      <c r="D4" s="927"/>
      <c r="E4" s="927"/>
      <c r="F4" s="927"/>
      <c r="G4" s="927"/>
      <c r="H4" s="927"/>
      <c r="I4" s="927"/>
      <c r="J4" s="927"/>
      <c r="K4" s="927"/>
    </row>
    <row r="5" spans="1:11">
      <c r="A5" s="927" t="s">
        <v>765</v>
      </c>
      <c r="B5" s="927"/>
      <c r="C5" s="927"/>
      <c r="D5" s="927"/>
      <c r="E5" s="927"/>
      <c r="F5" s="927"/>
      <c r="G5" s="927"/>
      <c r="H5" s="927"/>
      <c r="I5" s="927"/>
      <c r="J5" s="927"/>
      <c r="K5" s="927"/>
    </row>
    <row r="8" spans="1:11">
      <c r="G8" s="954" t="s">
        <v>880</v>
      </c>
      <c r="H8" s="954"/>
      <c r="I8" s="954"/>
      <c r="J8" s="954"/>
      <c r="K8" s="954"/>
    </row>
    <row r="9" spans="1:11" ht="25.5">
      <c r="A9" s="649" t="s">
        <v>854</v>
      </c>
      <c r="C9" s="49" t="s">
        <v>354</v>
      </c>
      <c r="E9" s="49" t="s">
        <v>355</v>
      </c>
      <c r="G9" s="49" t="s">
        <v>855</v>
      </c>
      <c r="I9" s="49" t="s">
        <v>856</v>
      </c>
      <c r="K9" s="49" t="s">
        <v>356</v>
      </c>
    </row>
    <row r="10" spans="1:11" s="648" customFormat="1">
      <c r="C10" s="648" t="s">
        <v>361</v>
      </c>
      <c r="E10" s="648" t="s">
        <v>362</v>
      </c>
      <c r="G10" s="648" t="s">
        <v>366</v>
      </c>
      <c r="I10" s="648" t="s">
        <v>363</v>
      </c>
      <c r="K10" s="648" t="s">
        <v>364</v>
      </c>
    </row>
    <row r="12" spans="1:11">
      <c r="A12" s="648">
        <v>1</v>
      </c>
      <c r="C12" t="s">
        <v>881</v>
      </c>
      <c r="E12" t="s">
        <v>1079</v>
      </c>
      <c r="G12" s="650">
        <f>J!G35</f>
        <v>27849463.720508385</v>
      </c>
      <c r="H12" s="650"/>
      <c r="I12" s="650">
        <f>J!I35</f>
        <v>128880.02297716416</v>
      </c>
      <c r="J12" s="650"/>
      <c r="K12" s="650">
        <f>J!E35</f>
        <v>27978343.743485551</v>
      </c>
    </row>
    <row r="13" spans="1:11">
      <c r="G13" s="650"/>
      <c r="H13" s="650"/>
      <c r="I13" s="650"/>
      <c r="J13" s="650"/>
      <c r="K13" s="650"/>
    </row>
    <row r="15" spans="1:11">
      <c r="G15" s="954" t="s">
        <v>882</v>
      </c>
      <c r="H15" s="954"/>
      <c r="I15" s="954"/>
    </row>
    <row r="17" spans="1:11">
      <c r="G17" s="49" t="s">
        <v>855</v>
      </c>
      <c r="I17" s="49" t="s">
        <v>856</v>
      </c>
    </row>
    <row r="19" spans="1:11">
      <c r="A19" s="648">
        <v>2</v>
      </c>
      <c r="C19" t="s">
        <v>883</v>
      </c>
      <c r="E19" t="s">
        <v>884</v>
      </c>
      <c r="G19" s="230">
        <f>('J-1'!E12*365)+('J-1'!E13*365)</f>
        <v>84811213</v>
      </c>
      <c r="H19" s="230"/>
      <c r="I19" s="230">
        <f>'J-1'!G24</f>
        <v>41220240</v>
      </c>
    </row>
    <row r="22" spans="1:11">
      <c r="G22" s="954" t="s">
        <v>885</v>
      </c>
      <c r="H22" s="954"/>
      <c r="I22" s="954"/>
      <c r="J22" s="954"/>
      <c r="K22" s="954"/>
    </row>
    <row r="24" spans="1:11">
      <c r="G24" s="49" t="s">
        <v>855</v>
      </c>
      <c r="I24" s="49" t="s">
        <v>856</v>
      </c>
      <c r="K24" s="49" t="s">
        <v>886</v>
      </c>
    </row>
    <row r="26" spans="1:11">
      <c r="A26" s="648">
        <v>3</v>
      </c>
      <c r="C26" t="s">
        <v>876</v>
      </c>
      <c r="G26" s="655">
        <f>ROUND(G12/G19,4)</f>
        <v>0.32840000000000003</v>
      </c>
      <c r="H26" s="655"/>
      <c r="I26" s="655">
        <f>ROUND(I12/I19,4)</f>
        <v>3.0999999999999999E-3</v>
      </c>
      <c r="J26" s="655"/>
      <c r="K26" s="655">
        <f>G26+I26</f>
        <v>0.33150000000000002</v>
      </c>
    </row>
    <row r="28" spans="1:11">
      <c r="A28" s="648">
        <v>4</v>
      </c>
      <c r="C28" t="s">
        <v>887</v>
      </c>
      <c r="K28" s="656">
        <f>K26</f>
        <v>0.33150000000000002</v>
      </c>
    </row>
  </sheetData>
  <mergeCells count="6">
    <mergeCell ref="G22:K22"/>
    <mergeCell ref="A3:K3"/>
    <mergeCell ref="A4:K4"/>
    <mergeCell ref="A5:K5"/>
    <mergeCell ref="G8:K8"/>
    <mergeCell ref="G15:I15"/>
  </mergeCells>
  <pageMargins left="0.7" right="0.7" top="0.75" bottom="0.75" header="0.3" footer="0.3"/>
  <pageSetup scale="81"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17"/>
    <pageSetUpPr fitToPage="1"/>
  </sheetPr>
  <dimension ref="A1:F88"/>
  <sheetViews>
    <sheetView topLeftCell="A61" workbookViewId="0">
      <selection activeCell="D85" sqref="D85"/>
    </sheetView>
  </sheetViews>
  <sheetFormatPr defaultRowHeight="12.75"/>
  <cols>
    <col min="3" max="3" width="39.5703125" bestFit="1" customWidth="1"/>
    <col min="4" max="4" width="15.7109375" style="72" customWidth="1"/>
    <col min="5" max="5" width="14.42578125" bestFit="1" customWidth="1"/>
  </cols>
  <sheetData>
    <row r="1" spans="1:6">
      <c r="E1" t="str">
        <f>A!D1</f>
        <v>Docket No. RP16-299-000</v>
      </c>
    </row>
    <row r="2" spans="1:6">
      <c r="E2" t="s">
        <v>469</v>
      </c>
    </row>
    <row r="4" spans="1:6">
      <c r="A4" s="927" t="str">
        <f>'Sched I-1(c)'!A4:D4</f>
        <v>Tuscarora Gas Transmission Company</v>
      </c>
      <c r="B4" s="927"/>
      <c r="C4" s="927"/>
      <c r="D4" s="927"/>
      <c r="E4" s="927"/>
      <c r="F4" s="927"/>
    </row>
    <row r="5" spans="1:6">
      <c r="A5" s="927" t="s">
        <v>470</v>
      </c>
      <c r="B5" s="927"/>
      <c r="C5" s="927"/>
      <c r="D5" s="927"/>
      <c r="E5" s="927"/>
      <c r="F5" s="927"/>
    </row>
    <row r="6" spans="1:6">
      <c r="A6" s="927"/>
      <c r="B6" s="927"/>
      <c r="C6" s="927"/>
      <c r="D6" s="927"/>
      <c r="E6" s="927"/>
      <c r="F6" s="927"/>
    </row>
    <row r="7" spans="1:6">
      <c r="A7" s="2"/>
      <c r="B7" s="2"/>
      <c r="C7" s="2"/>
      <c r="D7" s="2"/>
      <c r="E7" s="2"/>
      <c r="F7" s="2"/>
    </row>
    <row r="8" spans="1:6">
      <c r="A8" t="s">
        <v>352</v>
      </c>
    </row>
    <row r="9" spans="1:6">
      <c r="A9" s="1" t="s">
        <v>353</v>
      </c>
      <c r="C9" s="3" t="s">
        <v>354</v>
      </c>
      <c r="D9" s="298">
        <v>42369</v>
      </c>
      <c r="E9" s="251">
        <v>42004</v>
      </c>
    </row>
    <row r="10" spans="1:6">
      <c r="C10" s="50" t="s">
        <v>361</v>
      </c>
      <c r="D10" s="619" t="s">
        <v>362</v>
      </c>
      <c r="E10" s="619" t="s">
        <v>366</v>
      </c>
    </row>
    <row r="11" spans="1:6">
      <c r="C11" s="99" t="s">
        <v>471</v>
      </c>
    </row>
    <row r="12" spans="1:6">
      <c r="A12">
        <v>1</v>
      </c>
      <c r="C12" s="95" t="s">
        <v>472</v>
      </c>
    </row>
    <row r="13" spans="1:6">
      <c r="A13">
        <f>+A12+1</f>
        <v>2</v>
      </c>
      <c r="C13" s="96" t="s">
        <v>486</v>
      </c>
      <c r="D13" s="914">
        <v>205659207</v>
      </c>
      <c r="E13" s="914">
        <v>205695086</v>
      </c>
    </row>
    <row r="14" spans="1:6">
      <c r="A14">
        <f t="shared" ref="A14:A77" si="0">+A13+1</f>
        <v>3</v>
      </c>
      <c r="C14" s="96" t="s">
        <v>487</v>
      </c>
      <c r="D14" s="912">
        <v>277881</v>
      </c>
      <c r="E14" s="912">
        <v>169</v>
      </c>
    </row>
    <row r="15" spans="1:6">
      <c r="A15">
        <f t="shared" si="0"/>
        <v>4</v>
      </c>
      <c r="C15" s="96" t="s">
        <v>485</v>
      </c>
      <c r="D15" s="921">
        <f>SUM(D13:D14)</f>
        <v>205937088</v>
      </c>
      <c r="E15" s="921">
        <f>SUM(E13:E14)</f>
        <v>205695255</v>
      </c>
    </row>
    <row r="16" spans="1:6">
      <c r="A16">
        <f t="shared" si="0"/>
        <v>5</v>
      </c>
      <c r="C16" s="96" t="s">
        <v>488</v>
      </c>
      <c r="D16" s="912">
        <v>103558367</v>
      </c>
      <c r="E16" s="912">
        <v>100031824</v>
      </c>
    </row>
    <row r="17" spans="1:5">
      <c r="A17">
        <f t="shared" si="0"/>
        <v>6</v>
      </c>
      <c r="C17" s="96" t="s">
        <v>489</v>
      </c>
      <c r="D17" s="922">
        <f>+D15-D16</f>
        <v>102378721</v>
      </c>
      <c r="E17" s="922">
        <f>+E15-E16</f>
        <v>105663431</v>
      </c>
    </row>
    <row r="18" spans="1:5">
      <c r="A18">
        <f t="shared" si="0"/>
        <v>7</v>
      </c>
      <c r="C18" s="96" t="s">
        <v>478</v>
      </c>
      <c r="D18" s="912">
        <v>34959</v>
      </c>
      <c r="E18" s="912">
        <v>50960</v>
      </c>
    </row>
    <row r="19" spans="1:5">
      <c r="A19">
        <f>+A18+1</f>
        <v>8</v>
      </c>
      <c r="C19" s="95" t="s">
        <v>473</v>
      </c>
      <c r="D19" s="917"/>
      <c r="E19" s="917"/>
    </row>
    <row r="20" spans="1:5">
      <c r="A20">
        <f t="shared" si="0"/>
        <v>9</v>
      </c>
      <c r="C20" s="96" t="s">
        <v>490</v>
      </c>
      <c r="D20" s="914">
        <v>0</v>
      </c>
      <c r="E20" s="914">
        <v>0</v>
      </c>
    </row>
    <row r="21" spans="1:5">
      <c r="A21">
        <f t="shared" si="0"/>
        <v>10</v>
      </c>
      <c r="C21" s="96" t="s">
        <v>491</v>
      </c>
      <c r="D21" s="914">
        <v>0</v>
      </c>
      <c r="E21" s="914">
        <v>0</v>
      </c>
    </row>
    <row r="22" spans="1:5">
      <c r="A22">
        <f t="shared" si="0"/>
        <v>11</v>
      </c>
      <c r="C22" s="96" t="s">
        <v>492</v>
      </c>
      <c r="D22" s="919">
        <v>0</v>
      </c>
      <c r="E22" s="919">
        <v>0</v>
      </c>
    </row>
    <row r="23" spans="1:5">
      <c r="A23">
        <f t="shared" si="0"/>
        <v>12</v>
      </c>
      <c r="C23" s="96" t="s">
        <v>493</v>
      </c>
      <c r="D23" s="912">
        <v>0</v>
      </c>
      <c r="E23" s="912">
        <v>0</v>
      </c>
    </row>
    <row r="24" spans="1:5">
      <c r="A24">
        <f t="shared" si="0"/>
        <v>13</v>
      </c>
      <c r="C24" s="96" t="s">
        <v>494</v>
      </c>
      <c r="D24" s="923">
        <f>+D20-D21+D22+D23</f>
        <v>0</v>
      </c>
      <c r="E24" s="923">
        <f>+E20-E21+E22+E23</f>
        <v>0</v>
      </c>
    </row>
    <row r="25" spans="1:5">
      <c r="A25">
        <f t="shared" si="0"/>
        <v>14</v>
      </c>
      <c r="C25" s="95" t="s">
        <v>474</v>
      </c>
      <c r="D25" s="917"/>
      <c r="E25" s="917"/>
    </row>
    <row r="26" spans="1:5">
      <c r="A26">
        <f t="shared" si="0"/>
        <v>15</v>
      </c>
      <c r="C26" s="96" t="s">
        <v>495</v>
      </c>
      <c r="D26" s="914">
        <v>0</v>
      </c>
      <c r="E26" s="914">
        <v>0</v>
      </c>
    </row>
    <row r="27" spans="1:5">
      <c r="A27">
        <f t="shared" si="0"/>
        <v>16</v>
      </c>
      <c r="C27" s="96" t="s">
        <v>496</v>
      </c>
      <c r="D27" s="914">
        <v>0</v>
      </c>
      <c r="E27" s="914">
        <v>0</v>
      </c>
    </row>
    <row r="28" spans="1:5">
      <c r="A28">
        <f t="shared" si="0"/>
        <v>17</v>
      </c>
      <c r="C28" s="96" t="s">
        <v>497</v>
      </c>
      <c r="D28" s="914">
        <v>0</v>
      </c>
      <c r="E28" s="914">
        <v>0</v>
      </c>
    </row>
    <row r="29" spans="1:5">
      <c r="A29">
        <f t="shared" si="0"/>
        <v>18</v>
      </c>
      <c r="C29" s="96" t="s">
        <v>498</v>
      </c>
      <c r="D29" s="914">
        <v>0</v>
      </c>
      <c r="E29" s="914">
        <v>0</v>
      </c>
    </row>
    <row r="30" spans="1:5">
      <c r="A30">
        <f t="shared" si="0"/>
        <v>19</v>
      </c>
      <c r="C30" s="96" t="s">
        <v>499</v>
      </c>
      <c r="D30" s="914">
        <v>2288987</v>
      </c>
      <c r="E30" s="914">
        <v>2338856</v>
      </c>
    </row>
    <row r="31" spans="1:5">
      <c r="A31">
        <f t="shared" si="0"/>
        <v>20</v>
      </c>
      <c r="C31" s="96" t="s">
        <v>500</v>
      </c>
      <c r="D31" s="914">
        <v>0</v>
      </c>
      <c r="E31" s="914">
        <v>0</v>
      </c>
    </row>
    <row r="32" spans="1:5">
      <c r="A32">
        <f t="shared" si="0"/>
        <v>21</v>
      </c>
      <c r="C32" s="96" t="s">
        <v>501</v>
      </c>
      <c r="D32" s="914">
        <v>0</v>
      </c>
      <c r="E32" s="914">
        <v>0</v>
      </c>
    </row>
    <row r="33" spans="1:5">
      <c r="A33">
        <f t="shared" si="0"/>
        <v>22</v>
      </c>
      <c r="C33" s="96" t="s">
        <v>502</v>
      </c>
      <c r="D33" s="914">
        <v>0</v>
      </c>
      <c r="E33" s="914">
        <v>0</v>
      </c>
    </row>
    <row r="34" spans="1:5">
      <c r="A34">
        <f t="shared" si="0"/>
        <v>23</v>
      </c>
      <c r="C34" s="96" t="s">
        <v>503</v>
      </c>
      <c r="D34" s="914">
        <v>8677756</v>
      </c>
      <c r="E34" s="914">
        <v>10028141</v>
      </c>
    </row>
    <row r="35" spans="1:5">
      <c r="A35">
        <f t="shared" si="0"/>
        <v>24</v>
      </c>
      <c r="C35" s="96" t="s">
        <v>510</v>
      </c>
      <c r="D35" s="914">
        <v>25564</v>
      </c>
      <c r="E35" s="914">
        <v>20807</v>
      </c>
    </row>
    <row r="36" spans="1:5">
      <c r="A36">
        <f t="shared" si="0"/>
        <v>25</v>
      </c>
      <c r="C36" s="96" t="s">
        <v>511</v>
      </c>
      <c r="D36" s="914">
        <v>0</v>
      </c>
      <c r="E36" s="914">
        <v>0</v>
      </c>
    </row>
    <row r="37" spans="1:5">
      <c r="A37">
        <f t="shared" si="0"/>
        <v>26</v>
      </c>
      <c r="C37" s="96" t="s">
        <v>109</v>
      </c>
      <c r="D37" s="914">
        <v>33138</v>
      </c>
      <c r="E37" s="914">
        <v>32915</v>
      </c>
    </row>
    <row r="38" spans="1:5">
      <c r="A38">
        <f t="shared" si="0"/>
        <v>27</v>
      </c>
      <c r="C38" s="96" t="s">
        <v>512</v>
      </c>
      <c r="D38" s="914">
        <v>0</v>
      </c>
      <c r="E38" s="914">
        <v>0</v>
      </c>
    </row>
    <row r="39" spans="1:5">
      <c r="A39">
        <f t="shared" si="0"/>
        <v>28</v>
      </c>
      <c r="C39" s="96" t="s">
        <v>513</v>
      </c>
      <c r="D39" s="912">
        <v>59010</v>
      </c>
      <c r="E39" s="912">
        <v>198974</v>
      </c>
    </row>
    <row r="40" spans="1:5">
      <c r="A40">
        <f t="shared" si="0"/>
        <v>29</v>
      </c>
      <c r="C40" s="96" t="s">
        <v>514</v>
      </c>
      <c r="D40" s="922">
        <f>SUM(D26:D31)+SUM(D33:D39)-D32</f>
        <v>11084455</v>
      </c>
      <c r="E40" s="922">
        <f>SUM(E26:E31)+SUM(E33:E39)-E32</f>
        <v>12619693</v>
      </c>
    </row>
    <row r="41" spans="1:5">
      <c r="A41">
        <f t="shared" si="0"/>
        <v>30</v>
      </c>
      <c r="C41" s="95" t="s">
        <v>475</v>
      </c>
      <c r="D41" s="917"/>
      <c r="E41" s="917"/>
    </row>
    <row r="42" spans="1:5">
      <c r="A42">
        <f t="shared" si="0"/>
        <v>31</v>
      </c>
      <c r="C42" s="96" t="s">
        <v>515</v>
      </c>
      <c r="D42" s="914">
        <v>28173</v>
      </c>
      <c r="E42" s="914">
        <v>58956</v>
      </c>
    </row>
    <row r="43" spans="1:5">
      <c r="A43">
        <f t="shared" si="0"/>
        <v>32</v>
      </c>
      <c r="C43" s="96" t="s">
        <v>516</v>
      </c>
      <c r="D43" s="914">
        <v>693100</v>
      </c>
      <c r="E43" s="914">
        <v>346248</v>
      </c>
    </row>
    <row r="44" spans="1:5">
      <c r="A44">
        <f t="shared" si="0"/>
        <v>33</v>
      </c>
      <c r="C44" s="96" t="s">
        <v>517</v>
      </c>
      <c r="D44" s="914">
        <v>0</v>
      </c>
      <c r="E44" s="914">
        <v>0</v>
      </c>
    </row>
    <row r="45" spans="1:5">
      <c r="A45">
        <f t="shared" si="0"/>
        <v>34</v>
      </c>
      <c r="C45" s="96" t="s">
        <v>518</v>
      </c>
      <c r="D45" s="914">
        <v>0</v>
      </c>
      <c r="E45" s="914">
        <v>0</v>
      </c>
    </row>
    <row r="46" spans="1:5">
      <c r="A46">
        <f t="shared" si="0"/>
        <v>35</v>
      </c>
      <c r="C46" s="96" t="s">
        <v>519</v>
      </c>
      <c r="D46" s="914">
        <v>0</v>
      </c>
      <c r="E46" s="914">
        <v>0</v>
      </c>
    </row>
    <row r="47" spans="1:5">
      <c r="A47">
        <f t="shared" si="0"/>
        <v>36</v>
      </c>
      <c r="C47" s="96" t="s">
        <v>520</v>
      </c>
      <c r="D47" s="914">
        <v>0</v>
      </c>
      <c r="E47" s="914">
        <v>0</v>
      </c>
    </row>
    <row r="48" spans="1:5">
      <c r="A48">
        <f t="shared" si="0"/>
        <v>37</v>
      </c>
      <c r="C48" s="96" t="s">
        <v>385</v>
      </c>
      <c r="D48" s="912">
        <v>327258</v>
      </c>
      <c r="E48" s="912">
        <v>401064</v>
      </c>
    </row>
    <row r="49" spans="1:5">
      <c r="A49">
        <f t="shared" si="0"/>
        <v>38</v>
      </c>
      <c r="C49" s="96" t="s">
        <v>521</v>
      </c>
      <c r="D49" s="922">
        <f>SUM(D42:D48)</f>
        <v>1048531</v>
      </c>
      <c r="E49" s="922">
        <f>SUM(E42:E48)</f>
        <v>806268</v>
      </c>
    </row>
    <row r="50" spans="1:5" ht="13.5" thickBot="1">
      <c r="A50">
        <f t="shared" si="0"/>
        <v>39</v>
      </c>
      <c r="C50" s="96" t="s">
        <v>522</v>
      </c>
      <c r="D50" s="924">
        <f>+D49+D40+D24+D17+D18</f>
        <v>114546666</v>
      </c>
      <c r="E50" s="924">
        <f>+E49+E40+E24+E17+E18</f>
        <v>119140352</v>
      </c>
    </row>
    <row r="51" spans="1:5" ht="13.5" thickTop="1">
      <c r="A51">
        <f t="shared" si="0"/>
        <v>40</v>
      </c>
      <c r="C51" s="95" t="s">
        <v>476</v>
      </c>
      <c r="D51" s="917"/>
      <c r="E51" s="917"/>
    </row>
    <row r="52" spans="1:5">
      <c r="A52">
        <f t="shared" si="0"/>
        <v>41</v>
      </c>
      <c r="C52" s="95" t="s">
        <v>477</v>
      </c>
      <c r="D52" s="917"/>
      <c r="E52" s="917"/>
    </row>
    <row r="53" spans="1:5">
      <c r="A53">
        <f t="shared" si="0"/>
        <v>42</v>
      </c>
      <c r="C53" s="96" t="s">
        <v>523</v>
      </c>
      <c r="D53" s="914">
        <v>0</v>
      </c>
      <c r="E53" s="914">
        <v>0</v>
      </c>
    </row>
    <row r="54" spans="1:5">
      <c r="A54">
        <f t="shared" si="0"/>
        <v>43</v>
      </c>
      <c r="C54" s="96" t="s">
        <v>524</v>
      </c>
      <c r="D54" s="914">
        <v>63470829</v>
      </c>
      <c r="E54" s="914">
        <v>62015346</v>
      </c>
    </row>
    <row r="55" spans="1:5">
      <c r="A55">
        <f t="shared" si="0"/>
        <v>44</v>
      </c>
      <c r="C55" s="97" t="s">
        <v>525</v>
      </c>
      <c r="D55" s="914">
        <v>0</v>
      </c>
      <c r="E55" s="914">
        <v>0</v>
      </c>
    </row>
    <row r="56" spans="1:5">
      <c r="A56">
        <f t="shared" si="0"/>
        <v>45</v>
      </c>
      <c r="C56" s="97" t="s">
        <v>526</v>
      </c>
      <c r="D56" s="914">
        <v>0</v>
      </c>
      <c r="E56" s="914">
        <v>0</v>
      </c>
    </row>
    <row r="57" spans="1:5">
      <c r="A57">
        <f t="shared" si="0"/>
        <v>46</v>
      </c>
      <c r="C57" s="96" t="s">
        <v>527</v>
      </c>
      <c r="D57" s="912">
        <v>0</v>
      </c>
      <c r="E57" s="912">
        <v>0</v>
      </c>
    </row>
    <row r="58" spans="1:5">
      <c r="A58">
        <f t="shared" si="0"/>
        <v>47</v>
      </c>
      <c r="C58" s="96" t="s">
        <v>528</v>
      </c>
      <c r="D58" s="922">
        <f>SUM(D53:D57)</f>
        <v>63470829</v>
      </c>
      <c r="E58" s="922">
        <f>SUM(E53:E57)</f>
        <v>62015346</v>
      </c>
    </row>
    <row r="59" spans="1:5">
      <c r="A59">
        <f t="shared" si="0"/>
        <v>48</v>
      </c>
      <c r="C59" s="95" t="s">
        <v>480</v>
      </c>
      <c r="D59" s="917"/>
      <c r="E59" s="917"/>
    </row>
    <row r="60" spans="1:5">
      <c r="A60">
        <f t="shared" si="0"/>
        <v>49</v>
      </c>
      <c r="C60" s="96" t="s">
        <v>529</v>
      </c>
      <c r="D60" s="914">
        <v>0</v>
      </c>
      <c r="E60" s="914">
        <v>0</v>
      </c>
    </row>
    <row r="61" spans="1:5">
      <c r="A61">
        <f t="shared" si="0"/>
        <v>50</v>
      </c>
      <c r="C61" s="96" t="s">
        <v>530</v>
      </c>
      <c r="D61" s="914">
        <v>16182986</v>
      </c>
      <c r="E61" s="914">
        <v>19915380</v>
      </c>
    </row>
    <row r="62" spans="1:5">
      <c r="A62">
        <f t="shared" si="0"/>
        <v>51</v>
      </c>
      <c r="C62" s="96" t="s">
        <v>531</v>
      </c>
      <c r="D62" s="914">
        <v>0</v>
      </c>
      <c r="E62" s="914">
        <v>0</v>
      </c>
    </row>
    <row r="63" spans="1:5">
      <c r="A63">
        <f t="shared" si="0"/>
        <v>52</v>
      </c>
      <c r="C63" s="96" t="s">
        <v>481</v>
      </c>
      <c r="D63" s="912">
        <v>3865144</v>
      </c>
      <c r="E63" s="912">
        <v>3732394</v>
      </c>
    </row>
    <row r="64" spans="1:5">
      <c r="A64">
        <f t="shared" si="0"/>
        <v>53</v>
      </c>
      <c r="C64" s="96" t="s">
        <v>532</v>
      </c>
      <c r="D64" s="922">
        <f>+D60+D61-D62-D63</f>
        <v>12317842</v>
      </c>
      <c r="E64" s="922">
        <f>+E60+E61-E62-E63</f>
        <v>16182986</v>
      </c>
    </row>
    <row r="65" spans="1:5">
      <c r="A65">
        <f t="shared" si="0"/>
        <v>54</v>
      </c>
      <c r="C65" s="96" t="s">
        <v>626</v>
      </c>
      <c r="D65" s="912">
        <v>0</v>
      </c>
      <c r="E65" s="912">
        <v>0</v>
      </c>
    </row>
    <row r="66" spans="1:5">
      <c r="A66">
        <f t="shared" si="0"/>
        <v>55</v>
      </c>
      <c r="C66" s="96" t="s">
        <v>627</v>
      </c>
      <c r="D66" s="922">
        <f>+D65</f>
        <v>0</v>
      </c>
      <c r="E66" s="922">
        <f>+E65</f>
        <v>0</v>
      </c>
    </row>
    <row r="67" spans="1:5">
      <c r="A67">
        <f t="shared" si="0"/>
        <v>56</v>
      </c>
      <c r="C67" s="95" t="s">
        <v>482</v>
      </c>
      <c r="D67" s="917"/>
      <c r="E67" s="917"/>
    </row>
    <row r="68" spans="1:5">
      <c r="A68">
        <f t="shared" si="0"/>
        <v>57</v>
      </c>
      <c r="C68" s="96" t="s">
        <v>483</v>
      </c>
      <c r="D68" s="914">
        <v>3865144</v>
      </c>
      <c r="E68" s="914">
        <v>3732394</v>
      </c>
    </row>
    <row r="69" spans="1:5">
      <c r="A69">
        <f t="shared" si="0"/>
        <v>58</v>
      </c>
      <c r="C69" s="96" t="s">
        <v>628</v>
      </c>
      <c r="D69" s="914">
        <v>259543</v>
      </c>
      <c r="E69" s="914">
        <v>70792</v>
      </c>
    </row>
    <row r="70" spans="1:5">
      <c r="A70">
        <f t="shared" si="0"/>
        <v>59</v>
      </c>
      <c r="C70" s="96" t="s">
        <v>629</v>
      </c>
      <c r="D70" s="914">
        <v>0</v>
      </c>
      <c r="E70" s="914">
        <v>0</v>
      </c>
    </row>
    <row r="71" spans="1:5">
      <c r="A71">
        <f t="shared" si="0"/>
        <v>60</v>
      </c>
      <c r="C71" s="96" t="s">
        <v>630</v>
      </c>
      <c r="D71" s="914">
        <v>455431</v>
      </c>
      <c r="E71" s="914">
        <v>1096952</v>
      </c>
    </row>
    <row r="72" spans="1:5">
      <c r="A72">
        <f t="shared" si="0"/>
        <v>61</v>
      </c>
      <c r="C72" s="96" t="s">
        <v>631</v>
      </c>
      <c r="D72" s="914">
        <v>6218698</v>
      </c>
      <c r="E72" s="914">
        <v>6262506</v>
      </c>
    </row>
    <row r="73" spans="1:5">
      <c r="A73">
        <f t="shared" si="0"/>
        <v>62</v>
      </c>
      <c r="C73" s="96" t="s">
        <v>632</v>
      </c>
      <c r="D73" s="914">
        <v>255958</v>
      </c>
      <c r="E73" s="914">
        <v>265647</v>
      </c>
    </row>
    <row r="74" spans="1:5">
      <c r="A74">
        <f t="shared" si="0"/>
        <v>63</v>
      </c>
      <c r="C74" s="96" t="s">
        <v>633</v>
      </c>
      <c r="D74" s="914">
        <v>20402</v>
      </c>
      <c r="E74" s="914">
        <v>23176</v>
      </c>
    </row>
    <row r="75" spans="1:5">
      <c r="A75">
        <f t="shared" si="0"/>
        <v>64</v>
      </c>
      <c r="C75" s="96" t="s">
        <v>634</v>
      </c>
      <c r="D75" s="914">
        <v>500037</v>
      </c>
      <c r="E75" s="914">
        <v>155623</v>
      </c>
    </row>
    <row r="76" spans="1:5">
      <c r="A76">
        <f t="shared" si="0"/>
        <v>65</v>
      </c>
      <c r="C76" s="96" t="s">
        <v>635</v>
      </c>
      <c r="D76" s="923">
        <f>SUM(D68:D75)</f>
        <v>11575213</v>
      </c>
      <c r="E76" s="923">
        <f>SUM(E68:E75)</f>
        <v>11607090</v>
      </c>
    </row>
    <row r="77" spans="1:5">
      <c r="A77">
        <f t="shared" si="0"/>
        <v>66</v>
      </c>
      <c r="C77" s="95" t="s">
        <v>484</v>
      </c>
      <c r="D77" s="917"/>
      <c r="E77" s="917"/>
    </row>
    <row r="78" spans="1:5">
      <c r="A78">
        <f>+A77+1</f>
        <v>67</v>
      </c>
      <c r="C78" s="300" t="s">
        <v>479</v>
      </c>
      <c r="D78" s="914">
        <v>0</v>
      </c>
      <c r="E78" s="914">
        <v>0</v>
      </c>
    </row>
    <row r="79" spans="1:5">
      <c r="A79">
        <f t="shared" ref="A79:A84" si="1">+A78+1</f>
        <v>68</v>
      </c>
      <c r="C79" s="96" t="s">
        <v>637</v>
      </c>
      <c r="D79" s="914">
        <v>0</v>
      </c>
      <c r="E79" s="914">
        <v>0</v>
      </c>
    </row>
    <row r="80" spans="1:5">
      <c r="A80">
        <f t="shared" si="1"/>
        <v>69</v>
      </c>
      <c r="C80" s="96" t="s">
        <v>638</v>
      </c>
      <c r="D80" s="914">
        <v>0</v>
      </c>
      <c r="E80" s="914">
        <v>97034</v>
      </c>
    </row>
    <row r="81" spans="1:5">
      <c r="A81">
        <f t="shared" si="1"/>
        <v>70</v>
      </c>
      <c r="C81" s="96" t="s">
        <v>639</v>
      </c>
      <c r="D81" s="914">
        <v>0</v>
      </c>
      <c r="E81" s="914">
        <v>0</v>
      </c>
    </row>
    <row r="82" spans="1:5">
      <c r="A82">
        <f t="shared" si="1"/>
        <v>71</v>
      </c>
      <c r="C82" s="96" t="s">
        <v>640</v>
      </c>
      <c r="D82" s="914">
        <v>27080086</v>
      </c>
      <c r="E82" s="914">
        <v>29102571</v>
      </c>
    </row>
    <row r="83" spans="1:5">
      <c r="A83">
        <f t="shared" si="1"/>
        <v>72</v>
      </c>
      <c r="C83" s="96" t="s">
        <v>641</v>
      </c>
      <c r="D83" s="912">
        <v>102696</v>
      </c>
      <c r="E83" s="912">
        <v>135325</v>
      </c>
    </row>
    <row r="84" spans="1:5">
      <c r="A84">
        <f t="shared" si="1"/>
        <v>73</v>
      </c>
      <c r="C84" s="97" t="s">
        <v>642</v>
      </c>
      <c r="D84" s="922">
        <f>SUM(D78:D83)</f>
        <v>27182782</v>
      </c>
      <c r="E84" s="922">
        <f>SUM(E78:E83)</f>
        <v>29334930</v>
      </c>
    </row>
    <row r="85" spans="1:5" ht="13.5" thickBot="1">
      <c r="A85">
        <v>74</v>
      </c>
      <c r="C85" s="97" t="s">
        <v>643</v>
      </c>
      <c r="D85" s="924">
        <f>+D84+D76+D66+D64+D58</f>
        <v>114546666</v>
      </c>
      <c r="E85" s="924">
        <f>+E84+E76+E66+E64+E58</f>
        <v>119140352</v>
      </c>
    </row>
    <row r="86" spans="1:5" ht="13.5" thickTop="1"/>
    <row r="87" spans="1:5">
      <c r="D87" s="299"/>
    </row>
    <row r="88" spans="1:5">
      <c r="D88" s="317"/>
    </row>
  </sheetData>
  <mergeCells count="3">
    <mergeCell ref="A4:F4"/>
    <mergeCell ref="A5:F5"/>
    <mergeCell ref="A6:F6"/>
  </mergeCells>
  <phoneticPr fontId="5" type="noConversion"/>
  <pageMargins left="0.75" right="0.75" top="1" bottom="1" header="0.5" footer="0.5"/>
  <pageSetup scale="61" orientation="portrait" r:id="rId1"/>
  <headerFooter alignWithMargins="0"/>
  <ignoredErrors>
    <ignoredError sqref="D15:E15 D17:E17 D24:E24 D40:E40 E49:E50 D49:D50 D58:E58 D64:E64 D66:E66 D76:E76 E84:E85 D84:D85" unlockedFormula="1"/>
  </ignoredError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17"/>
    <pageSetUpPr fitToPage="1"/>
  </sheetPr>
  <dimension ref="A1:M73"/>
  <sheetViews>
    <sheetView topLeftCell="A7" zoomScaleNormal="100" workbookViewId="0">
      <selection activeCell="E55" sqref="E55"/>
    </sheetView>
  </sheetViews>
  <sheetFormatPr defaultRowHeight="12.75"/>
  <cols>
    <col min="1" max="1" width="9.28515625" bestFit="1" customWidth="1"/>
    <col min="2" max="2" width="3.5703125" customWidth="1"/>
    <col min="3" max="3" width="42" customWidth="1"/>
    <col min="4" max="4" width="13.5703125" bestFit="1" customWidth="1"/>
    <col min="5" max="5" width="10.7109375" bestFit="1" customWidth="1"/>
    <col min="6" max="6" width="9.7109375" bestFit="1" customWidth="1"/>
    <col min="12" max="12" width="12.85546875" customWidth="1"/>
    <col min="13" max="13" width="10.28515625" bestFit="1" customWidth="1"/>
  </cols>
  <sheetData>
    <row r="1" spans="1:13">
      <c r="D1" s="2"/>
      <c r="E1" t="str">
        <f>A!D1</f>
        <v>Docket No. RP16-299-000</v>
      </c>
    </row>
    <row r="2" spans="1:13">
      <c r="D2" s="2"/>
      <c r="E2" t="s">
        <v>653</v>
      </c>
    </row>
    <row r="3" spans="1:13">
      <c r="D3" s="2"/>
    </row>
    <row r="4" spans="1:13">
      <c r="A4" s="927" t="str">
        <f>L!A4</f>
        <v>Tuscarora Gas Transmission Company</v>
      </c>
      <c r="B4" s="927"/>
      <c r="C4" s="927"/>
      <c r="D4" s="927"/>
      <c r="E4" s="927"/>
    </row>
    <row r="5" spans="1:13">
      <c r="A5" s="927" t="s">
        <v>644</v>
      </c>
      <c r="B5" s="927"/>
      <c r="C5" s="927"/>
      <c r="D5" s="927"/>
      <c r="E5" s="927"/>
    </row>
    <row r="6" spans="1:13">
      <c r="A6" s="929" t="str">
        <f>'Title Input and Macros'!B8</f>
        <v>For the Twelve Months Ended December 31, 2015</v>
      </c>
      <c r="B6" s="929"/>
      <c r="C6" s="929"/>
      <c r="D6" s="929"/>
      <c r="E6" s="929"/>
    </row>
    <row r="7" spans="1:13">
      <c r="A7" s="927"/>
      <c r="B7" s="927"/>
      <c r="C7" s="927"/>
      <c r="D7" s="927"/>
      <c r="E7" s="927"/>
    </row>
    <row r="8" spans="1:13">
      <c r="A8" s="2"/>
      <c r="B8" s="2"/>
      <c r="C8" s="2"/>
      <c r="D8" s="2"/>
      <c r="E8" s="2"/>
    </row>
    <row r="9" spans="1:13">
      <c r="A9" t="s">
        <v>352</v>
      </c>
    </row>
    <row r="10" spans="1:13">
      <c r="A10" s="100" t="s">
        <v>353</v>
      </c>
      <c r="B10" s="73"/>
      <c r="C10" s="3" t="s">
        <v>354</v>
      </c>
      <c r="D10" s="251" t="s">
        <v>365</v>
      </c>
      <c r="E10" s="98"/>
    </row>
    <row r="11" spans="1:13">
      <c r="A11" s="100"/>
      <c r="B11" s="73"/>
      <c r="C11" s="50" t="s">
        <v>361</v>
      </c>
      <c r="D11" s="2" t="s">
        <v>362</v>
      </c>
      <c r="E11" s="98"/>
    </row>
    <row r="12" spans="1:13">
      <c r="A12" s="252" t="s">
        <v>645</v>
      </c>
      <c r="C12" s="253" t="s">
        <v>646</v>
      </c>
      <c r="D12" s="73"/>
    </row>
    <row r="13" spans="1:13">
      <c r="A13" s="96">
        <f>+A12+1</f>
        <v>2</v>
      </c>
      <c r="C13" s="96" t="s">
        <v>533</v>
      </c>
      <c r="D13" s="912">
        <v>27355823</v>
      </c>
    </row>
    <row r="14" spans="1:13">
      <c r="A14" s="96">
        <f t="shared" ref="A14:A59" si="0">+A13+1</f>
        <v>3</v>
      </c>
      <c r="C14" s="96" t="s">
        <v>647</v>
      </c>
      <c r="D14" s="913"/>
      <c r="L14" s="2"/>
      <c r="M14" s="2"/>
    </row>
    <row r="15" spans="1:13">
      <c r="A15" s="96">
        <f t="shared" si="0"/>
        <v>4</v>
      </c>
      <c r="C15" s="96" t="s">
        <v>534</v>
      </c>
      <c r="D15" s="914">
        <v>5225042</v>
      </c>
      <c r="L15" s="204"/>
      <c r="M15" s="204"/>
    </row>
    <row r="16" spans="1:13">
      <c r="A16" s="96">
        <f t="shared" si="0"/>
        <v>5</v>
      </c>
      <c r="C16" s="96" t="s">
        <v>535</v>
      </c>
      <c r="D16" s="914">
        <v>1137853</v>
      </c>
    </row>
    <row r="17" spans="1:4">
      <c r="A17" s="96">
        <f t="shared" si="0"/>
        <v>6</v>
      </c>
      <c r="C17" s="96" t="s">
        <v>536</v>
      </c>
      <c r="D17" s="914">
        <v>3703280</v>
      </c>
    </row>
    <row r="18" spans="1:4">
      <c r="A18" s="96">
        <f t="shared" si="0"/>
        <v>7</v>
      </c>
      <c r="C18" s="96" t="s">
        <v>537</v>
      </c>
      <c r="D18" s="914">
        <v>8743</v>
      </c>
    </row>
    <row r="19" spans="1:4">
      <c r="A19" s="96">
        <f t="shared" si="0"/>
        <v>8</v>
      </c>
      <c r="C19" s="96" t="s">
        <v>538</v>
      </c>
      <c r="D19" s="914">
        <v>668465</v>
      </c>
    </row>
    <row r="20" spans="1:4">
      <c r="A20" s="96">
        <f t="shared" si="0"/>
        <v>9</v>
      </c>
      <c r="C20" s="96" t="s">
        <v>539</v>
      </c>
      <c r="D20" s="914">
        <v>-1166481</v>
      </c>
    </row>
    <row r="21" spans="1:4">
      <c r="A21" s="96">
        <f t="shared" si="0"/>
        <v>10</v>
      </c>
      <c r="C21" s="96" t="s">
        <v>540</v>
      </c>
      <c r="D21" s="914">
        <v>1130379</v>
      </c>
    </row>
    <row r="22" spans="1:4">
      <c r="A22" s="96">
        <f t="shared" si="0"/>
        <v>11</v>
      </c>
      <c r="C22" s="96" t="s">
        <v>541</v>
      </c>
      <c r="D22" s="914">
        <v>4717240</v>
      </c>
    </row>
    <row r="23" spans="1:4">
      <c r="A23" s="96">
        <f t="shared" si="0"/>
        <v>12</v>
      </c>
      <c r="C23" s="96" t="s">
        <v>542</v>
      </c>
      <c r="D23" s="914">
        <v>32425</v>
      </c>
    </row>
    <row r="24" spans="1:4">
      <c r="A24" s="96">
        <f t="shared" si="0"/>
        <v>13</v>
      </c>
      <c r="C24" s="96" t="s">
        <v>543</v>
      </c>
      <c r="D24" s="914">
        <v>901756</v>
      </c>
    </row>
    <row r="25" spans="1:4">
      <c r="A25" s="96">
        <f t="shared" si="0"/>
        <v>14</v>
      </c>
      <c r="C25" s="96" t="s">
        <v>544</v>
      </c>
      <c r="D25" s="912">
        <v>-104</v>
      </c>
    </row>
    <row r="26" spans="1:4">
      <c r="A26" s="96">
        <f t="shared" si="0"/>
        <v>15</v>
      </c>
      <c r="B26" s="72"/>
      <c r="C26" s="96" t="s">
        <v>545</v>
      </c>
      <c r="D26" s="915">
        <f>SUM(D15:D25)</f>
        <v>16358598</v>
      </c>
    </row>
    <row r="27" spans="1:4">
      <c r="A27" s="96">
        <f t="shared" si="0"/>
        <v>16</v>
      </c>
      <c r="B27" s="72"/>
      <c r="C27" s="96" t="s">
        <v>546</v>
      </c>
      <c r="D27" s="916">
        <f>D13-D26</f>
        <v>10997225</v>
      </c>
    </row>
    <row r="28" spans="1:4">
      <c r="A28" s="96">
        <f t="shared" si="0"/>
        <v>17</v>
      </c>
      <c r="C28" s="95" t="s">
        <v>648</v>
      </c>
      <c r="D28" s="917"/>
    </row>
    <row r="29" spans="1:4">
      <c r="A29" s="96">
        <f t="shared" si="0"/>
        <v>18</v>
      </c>
      <c r="C29" s="96" t="s">
        <v>649</v>
      </c>
      <c r="D29" s="918">
        <v>0</v>
      </c>
    </row>
    <row r="30" spans="1:4">
      <c r="A30" s="96">
        <f t="shared" si="0"/>
        <v>19</v>
      </c>
      <c r="C30" s="96" t="s">
        <v>547</v>
      </c>
      <c r="D30" s="914">
        <v>0</v>
      </c>
    </row>
    <row r="31" spans="1:4">
      <c r="A31" s="96">
        <f t="shared" si="0"/>
        <v>20</v>
      </c>
      <c r="C31" s="96" t="s">
        <v>548</v>
      </c>
      <c r="D31" s="914">
        <v>22539</v>
      </c>
    </row>
    <row r="32" spans="1:4">
      <c r="A32" s="96">
        <f t="shared" si="0"/>
        <v>21</v>
      </c>
      <c r="C32" s="96" t="s">
        <v>549</v>
      </c>
      <c r="D32" s="914">
        <v>11435</v>
      </c>
    </row>
    <row r="33" spans="1:5">
      <c r="A33" s="96">
        <f t="shared" si="0"/>
        <v>22</v>
      </c>
      <c r="C33" s="96" t="s">
        <v>556</v>
      </c>
      <c r="D33" s="912">
        <v>137126</v>
      </c>
    </row>
    <row r="34" spans="1:5" s="72" customFormat="1">
      <c r="A34" s="96">
        <f t="shared" si="0"/>
        <v>23</v>
      </c>
      <c r="C34" s="96" t="s">
        <v>557</v>
      </c>
      <c r="D34" s="915">
        <f>SUM(D30:D33)</f>
        <v>171100</v>
      </c>
    </row>
    <row r="35" spans="1:5">
      <c r="A35" s="96">
        <f t="shared" si="0"/>
        <v>24</v>
      </c>
      <c r="C35" s="96" t="s">
        <v>650</v>
      </c>
      <c r="D35" s="913"/>
    </row>
    <row r="36" spans="1:5">
      <c r="A36" s="96">
        <f t="shared" si="0"/>
        <v>25</v>
      </c>
      <c r="C36" s="96" t="s">
        <v>558</v>
      </c>
      <c r="D36" s="914">
        <v>0</v>
      </c>
    </row>
    <row r="37" spans="1:5">
      <c r="A37" s="96"/>
      <c r="C37" s="96" t="s">
        <v>441</v>
      </c>
      <c r="D37" s="914">
        <v>0</v>
      </c>
    </row>
    <row r="38" spans="1:5">
      <c r="A38" s="96">
        <f>+A36+1</f>
        <v>26</v>
      </c>
      <c r="C38" s="96" t="s">
        <v>555</v>
      </c>
      <c r="D38" s="914">
        <v>0</v>
      </c>
    </row>
    <row r="39" spans="1:5">
      <c r="A39" s="96">
        <f t="shared" si="0"/>
        <v>27</v>
      </c>
      <c r="C39" s="96" t="s">
        <v>559</v>
      </c>
      <c r="D39" s="912">
        <v>0</v>
      </c>
    </row>
    <row r="40" spans="1:5" s="72" customFormat="1">
      <c r="A40" s="96">
        <f t="shared" si="0"/>
        <v>28</v>
      </c>
      <c r="C40" s="96" t="s">
        <v>560</v>
      </c>
      <c r="D40" s="915">
        <f>SUM(D36:D39)</f>
        <v>0</v>
      </c>
    </row>
    <row r="41" spans="1:5">
      <c r="A41" s="96">
        <f t="shared" si="0"/>
        <v>29</v>
      </c>
      <c r="C41" s="96" t="s">
        <v>651</v>
      </c>
      <c r="D41" s="918"/>
    </row>
    <row r="42" spans="1:5">
      <c r="A42" s="96">
        <f t="shared" si="0"/>
        <v>30</v>
      </c>
      <c r="C42" s="96" t="s">
        <v>561</v>
      </c>
      <c r="D42" s="914">
        <v>-25416</v>
      </c>
    </row>
    <row r="43" spans="1:5">
      <c r="A43" s="96">
        <f t="shared" si="0"/>
        <v>31</v>
      </c>
      <c r="C43" s="96" t="s">
        <v>562</v>
      </c>
      <c r="D43" s="914">
        <v>-175</v>
      </c>
    </row>
    <row r="44" spans="1:5">
      <c r="A44" s="96">
        <f t="shared" si="0"/>
        <v>32</v>
      </c>
      <c r="C44" s="96" t="s">
        <v>563</v>
      </c>
      <c r="D44" s="914">
        <v>33515</v>
      </c>
    </row>
    <row r="45" spans="1:5">
      <c r="A45" s="96">
        <f t="shared" si="0"/>
        <v>33</v>
      </c>
      <c r="C45" s="96" t="s">
        <v>564</v>
      </c>
      <c r="D45" s="912">
        <v>0</v>
      </c>
    </row>
    <row r="46" spans="1:5">
      <c r="A46" s="96">
        <f t="shared" si="0"/>
        <v>34</v>
      </c>
      <c r="B46" s="72"/>
      <c r="C46" s="96" t="s">
        <v>565</v>
      </c>
      <c r="D46" s="915">
        <f>SUM(D42:D45)</f>
        <v>7924</v>
      </c>
    </row>
    <row r="47" spans="1:5">
      <c r="A47" s="96">
        <f t="shared" si="0"/>
        <v>35</v>
      </c>
      <c r="B47" s="72"/>
      <c r="C47" s="96" t="s">
        <v>566</v>
      </c>
      <c r="D47" s="915">
        <f>D34-D40-D46</f>
        <v>163176</v>
      </c>
      <c r="E47" s="204"/>
    </row>
    <row r="48" spans="1:5">
      <c r="A48" s="96">
        <f t="shared" si="0"/>
        <v>36</v>
      </c>
      <c r="C48" s="96" t="s">
        <v>652</v>
      </c>
      <c r="D48" s="918"/>
    </row>
    <row r="49" spans="1:4">
      <c r="A49" s="96">
        <f t="shared" si="0"/>
        <v>37</v>
      </c>
      <c r="C49" s="96" t="s">
        <v>567</v>
      </c>
      <c r="D49" s="914">
        <v>756807</v>
      </c>
    </row>
    <row r="50" spans="1:4">
      <c r="A50" s="96">
        <f t="shared" si="0"/>
        <v>38</v>
      </c>
      <c r="C50" s="96" t="s">
        <v>568</v>
      </c>
      <c r="D50" s="914">
        <v>30783</v>
      </c>
    </row>
    <row r="51" spans="1:4">
      <c r="A51" s="96">
        <f t="shared" si="0"/>
        <v>39</v>
      </c>
      <c r="C51" s="96" t="s">
        <v>569</v>
      </c>
      <c r="D51" s="914">
        <v>0</v>
      </c>
    </row>
    <row r="52" spans="1:4">
      <c r="A52" s="96">
        <f t="shared" si="0"/>
        <v>40</v>
      </c>
      <c r="C52" s="96" t="s">
        <v>570</v>
      </c>
      <c r="D52" s="914">
        <v>0</v>
      </c>
    </row>
    <row r="53" spans="1:4">
      <c r="A53" s="96">
        <f t="shared" si="0"/>
        <v>41</v>
      </c>
      <c r="C53" s="96" t="s">
        <v>571</v>
      </c>
      <c r="D53" s="914">
        <v>0</v>
      </c>
    </row>
    <row r="54" spans="1:4">
      <c r="A54" s="96">
        <f t="shared" si="0"/>
        <v>42</v>
      </c>
      <c r="C54" s="97" t="s">
        <v>572</v>
      </c>
      <c r="D54" s="919">
        <v>0</v>
      </c>
    </row>
    <row r="55" spans="1:4">
      <c r="A55" s="96">
        <f t="shared" si="0"/>
        <v>43</v>
      </c>
      <c r="C55" s="97" t="s">
        <v>573</v>
      </c>
      <c r="D55" s="919">
        <v>8290</v>
      </c>
    </row>
    <row r="56" spans="1:4">
      <c r="A56" s="96">
        <f t="shared" si="0"/>
        <v>44</v>
      </c>
      <c r="C56" s="97" t="s">
        <v>574</v>
      </c>
      <c r="D56" s="912">
        <v>-1143</v>
      </c>
    </row>
    <row r="57" spans="1:4">
      <c r="A57" s="96">
        <f t="shared" si="0"/>
        <v>45</v>
      </c>
      <c r="B57" s="72"/>
      <c r="C57" s="97" t="s">
        <v>575</v>
      </c>
      <c r="D57" s="915">
        <f>SUM(D49:D56)</f>
        <v>794737</v>
      </c>
    </row>
    <row r="58" spans="1:4">
      <c r="A58" s="96">
        <f t="shared" si="0"/>
        <v>46</v>
      </c>
      <c r="B58" s="72"/>
      <c r="C58" s="97" t="s">
        <v>576</v>
      </c>
      <c r="D58" s="915">
        <f>D27+D47-D57</f>
        <v>10365664</v>
      </c>
    </row>
    <row r="59" spans="1:4" ht="13.5" thickBot="1">
      <c r="A59" s="96">
        <f t="shared" si="0"/>
        <v>47</v>
      </c>
      <c r="B59" s="72"/>
      <c r="C59" s="97" t="s">
        <v>577</v>
      </c>
      <c r="D59" s="920">
        <f>D58</f>
        <v>10365664</v>
      </c>
    </row>
    <row r="60" spans="1:4" ht="13.5" thickTop="1">
      <c r="A60" s="201"/>
      <c r="B60" s="201"/>
      <c r="C60" s="201"/>
      <c r="D60" s="233"/>
    </row>
    <row r="61" spans="1:4">
      <c r="A61" s="201"/>
      <c r="B61" s="201"/>
      <c r="C61" s="201"/>
      <c r="D61" s="233"/>
    </row>
    <row r="62" spans="1:4">
      <c r="A62" s="201"/>
      <c r="B62" s="201"/>
      <c r="C62" s="201"/>
      <c r="D62" s="233"/>
    </row>
    <row r="63" spans="1:4">
      <c r="A63" s="201"/>
      <c r="B63" s="201"/>
      <c r="C63" s="201"/>
      <c r="D63" s="233"/>
    </row>
    <row r="64" spans="1:4">
      <c r="A64" s="201"/>
      <c r="B64" s="201"/>
      <c r="C64" s="201"/>
      <c r="D64" s="233"/>
    </row>
    <row r="65" spans="1:4">
      <c r="A65" s="201"/>
      <c r="B65" s="201"/>
      <c r="C65" s="201"/>
      <c r="D65" s="233"/>
    </row>
    <row r="66" spans="1:4">
      <c r="A66" s="201"/>
      <c r="B66" s="201"/>
      <c r="C66" s="201"/>
      <c r="D66" s="233"/>
    </row>
    <row r="67" spans="1:4">
      <c r="A67" s="201"/>
      <c r="B67" s="201"/>
      <c r="C67" s="201"/>
      <c r="D67" s="233"/>
    </row>
    <row r="68" spans="1:4">
      <c r="A68" s="201"/>
      <c r="B68" s="201"/>
      <c r="C68" s="201"/>
      <c r="D68" s="233"/>
    </row>
    <row r="69" spans="1:4">
      <c r="A69" s="72"/>
      <c r="B69" s="72"/>
      <c r="C69" s="72"/>
      <c r="D69" s="204"/>
    </row>
    <row r="70" spans="1:4">
      <c r="A70" s="72"/>
      <c r="B70" s="72"/>
      <c r="C70" s="72"/>
      <c r="D70" s="204"/>
    </row>
    <row r="71" spans="1:4">
      <c r="A71" s="72"/>
      <c r="B71" s="72"/>
      <c r="C71" s="72"/>
      <c r="D71" s="204"/>
    </row>
    <row r="72" spans="1:4">
      <c r="A72" s="72"/>
      <c r="B72" s="72"/>
      <c r="C72" s="72"/>
      <c r="D72" s="204"/>
    </row>
    <row r="73" spans="1:4">
      <c r="A73" s="72"/>
      <c r="B73" s="72"/>
      <c r="C73" s="72"/>
    </row>
  </sheetData>
  <mergeCells count="4">
    <mergeCell ref="A4:E4"/>
    <mergeCell ref="A5:E5"/>
    <mergeCell ref="A7:E7"/>
    <mergeCell ref="A6:E6"/>
  </mergeCells>
  <phoneticPr fontId="5" type="noConversion"/>
  <pageMargins left="0.75" right="0.75" top="1" bottom="1" header="0.5" footer="0.5"/>
  <pageSetup scale="67" orientation="portrait" r:id="rId1"/>
  <headerFooter alignWithMargins="0"/>
  <ignoredErrors>
    <ignoredError sqref="D26:D27 D40 D46:D47 D57:D5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7"/>
    <pageSetUpPr fitToPage="1"/>
  </sheetPr>
  <dimension ref="A1:O47"/>
  <sheetViews>
    <sheetView zoomScaleNormal="100" workbookViewId="0">
      <selection activeCell="A4" sqref="A4:N4"/>
    </sheetView>
  </sheetViews>
  <sheetFormatPr defaultRowHeight="12.75"/>
  <cols>
    <col min="1" max="1" width="4.5703125" bestFit="1" customWidth="1"/>
    <col min="2" max="2" width="54.85546875" bestFit="1" customWidth="1"/>
    <col min="3" max="3" width="14.5703125" hidden="1" customWidth="1"/>
    <col min="4" max="4" width="13.5703125" hidden="1" customWidth="1"/>
    <col min="5" max="5" width="15.28515625" hidden="1" customWidth="1"/>
    <col min="6" max="6" width="20.5703125" bestFit="1" customWidth="1"/>
    <col min="7" max="7" width="13.28515625" hidden="1" customWidth="1"/>
    <col min="8" max="8" width="13.5703125" hidden="1" customWidth="1"/>
    <col min="9" max="11" width="14.28515625" hidden="1" customWidth="1"/>
    <col min="12" max="13" width="12.28515625" hidden="1" customWidth="1"/>
    <col min="14" max="14" width="12.5703125" bestFit="1" customWidth="1"/>
    <col min="15" max="15" width="11.28515625" bestFit="1" customWidth="1"/>
  </cols>
  <sheetData>
    <row r="1" spans="1:15">
      <c r="N1" t="str">
        <f>A!D1</f>
        <v>Docket No. RP16-299-000</v>
      </c>
    </row>
    <row r="2" spans="1:15">
      <c r="A2" s="927"/>
      <c r="B2" s="927"/>
      <c r="C2" s="927"/>
      <c r="D2" s="927"/>
      <c r="E2" s="68"/>
      <c r="F2" s="68"/>
      <c r="N2" t="s">
        <v>211</v>
      </c>
    </row>
    <row r="3" spans="1:15">
      <c r="A3" s="927"/>
      <c r="B3" s="927"/>
      <c r="C3" s="927"/>
      <c r="D3" s="927"/>
      <c r="N3" t="s">
        <v>251</v>
      </c>
    </row>
    <row r="4" spans="1:15">
      <c r="A4" s="927" t="str">
        <f>'Sched B-1 Pg 2'!A4:H4</f>
        <v>Tuscarora Gas Transmission Company</v>
      </c>
      <c r="B4" s="927"/>
      <c r="C4" s="927"/>
      <c r="D4" s="927"/>
      <c r="E4" s="927"/>
      <c r="F4" s="927"/>
      <c r="G4" s="927"/>
      <c r="H4" s="927"/>
      <c r="I4" s="927"/>
      <c r="J4" s="927"/>
      <c r="K4" s="927"/>
      <c r="L4" s="927"/>
      <c r="M4" s="927"/>
      <c r="N4" s="927"/>
    </row>
    <row r="5" spans="1:15">
      <c r="A5" s="927" t="s">
        <v>660</v>
      </c>
      <c r="B5" s="927"/>
      <c r="C5" s="927"/>
      <c r="D5" s="927"/>
      <c r="E5" s="927"/>
      <c r="F5" s="927"/>
      <c r="G5" s="927"/>
      <c r="H5" s="927"/>
      <c r="I5" s="927"/>
      <c r="J5" s="927"/>
      <c r="K5" s="927"/>
      <c r="L5" s="927"/>
      <c r="M5" s="927"/>
      <c r="N5" s="927"/>
    </row>
    <row r="6" spans="1:15">
      <c r="A6" s="927" t="str">
        <f>A!A6:D6</f>
        <v>For the Twelve Months Ended December 31, 2015, As Adjusted</v>
      </c>
      <c r="B6" s="927"/>
      <c r="C6" s="927"/>
      <c r="D6" s="927"/>
      <c r="E6" s="927"/>
      <c r="F6" s="927"/>
      <c r="G6" s="927"/>
      <c r="H6" s="927"/>
      <c r="I6" s="927"/>
      <c r="J6" s="927"/>
      <c r="K6" s="927"/>
      <c r="L6" s="927"/>
      <c r="M6" s="927"/>
      <c r="N6" s="927"/>
    </row>
    <row r="7" spans="1:15">
      <c r="A7" s="2"/>
      <c r="B7" s="2"/>
      <c r="C7" s="2"/>
      <c r="D7" s="2"/>
      <c r="E7" s="2"/>
      <c r="F7" s="2"/>
      <c r="G7" s="2"/>
      <c r="H7" s="2"/>
      <c r="I7" s="2"/>
      <c r="J7" s="2"/>
      <c r="K7" s="2"/>
      <c r="L7" s="2"/>
      <c r="M7" s="2"/>
      <c r="N7" s="2"/>
    </row>
    <row r="8" spans="1:15">
      <c r="A8" s="2"/>
      <c r="B8" s="2"/>
      <c r="C8" s="2"/>
      <c r="D8" s="2"/>
      <c r="E8" s="2"/>
      <c r="F8" s="2"/>
      <c r="G8" s="2"/>
      <c r="H8" s="2"/>
      <c r="I8" s="2"/>
      <c r="J8" s="2"/>
      <c r="K8" s="2"/>
      <c r="L8" s="2"/>
      <c r="M8" s="2"/>
      <c r="N8" s="2"/>
    </row>
    <row r="9" spans="1:15">
      <c r="C9" s="2" t="s">
        <v>610</v>
      </c>
      <c r="D9" s="2" t="s">
        <v>661</v>
      </c>
      <c r="E9" s="132" t="s">
        <v>349</v>
      </c>
      <c r="F9" s="2"/>
      <c r="G9" s="2"/>
    </row>
    <row r="10" spans="1:15">
      <c r="C10" s="2" t="s">
        <v>611</v>
      </c>
      <c r="D10" s="2" t="s">
        <v>662</v>
      </c>
      <c r="E10" s="132" t="s">
        <v>350</v>
      </c>
      <c r="F10" s="2" t="s">
        <v>252</v>
      </c>
      <c r="G10" s="2" t="s">
        <v>215</v>
      </c>
      <c r="H10" s="2"/>
      <c r="I10" s="2" t="s">
        <v>233</v>
      </c>
      <c r="J10" s="2"/>
      <c r="K10" s="2" t="s">
        <v>236</v>
      </c>
      <c r="L10" s="72"/>
    </row>
    <row r="11" spans="1:15">
      <c r="C11" s="3" t="s">
        <v>17</v>
      </c>
      <c r="D11" s="3" t="s">
        <v>213</v>
      </c>
      <c r="E11" s="149" t="s">
        <v>214</v>
      </c>
      <c r="F11" s="3" t="s">
        <v>253</v>
      </c>
      <c r="G11" s="3" t="s">
        <v>232</v>
      </c>
      <c r="H11" s="3" t="s">
        <v>233</v>
      </c>
      <c r="I11" s="3" t="s">
        <v>234</v>
      </c>
      <c r="J11" s="3" t="s">
        <v>235</v>
      </c>
      <c r="K11" s="3" t="s">
        <v>249</v>
      </c>
      <c r="L11" s="304" t="s">
        <v>372</v>
      </c>
      <c r="N11" s="3" t="s">
        <v>368</v>
      </c>
    </row>
    <row r="12" spans="1:15">
      <c r="A12" t="s">
        <v>352</v>
      </c>
      <c r="C12" s="3" t="s">
        <v>19</v>
      </c>
      <c r="D12" s="3" t="s">
        <v>663</v>
      </c>
      <c r="E12" s="149" t="s">
        <v>19</v>
      </c>
      <c r="F12" s="3" t="s">
        <v>663</v>
      </c>
      <c r="G12" s="3" t="s">
        <v>19</v>
      </c>
      <c r="H12" s="3" t="s">
        <v>19</v>
      </c>
      <c r="I12" s="3" t="s">
        <v>19</v>
      </c>
      <c r="J12" s="3" t="s">
        <v>19</v>
      </c>
      <c r="K12" s="3" t="s">
        <v>19</v>
      </c>
      <c r="L12" s="304" t="s">
        <v>373</v>
      </c>
      <c r="M12" s="3" t="s">
        <v>657</v>
      </c>
      <c r="N12" s="3" t="s">
        <v>663</v>
      </c>
    </row>
    <row r="13" spans="1:15">
      <c r="A13" s="1" t="s">
        <v>353</v>
      </c>
      <c r="B13" s="1" t="s">
        <v>354</v>
      </c>
      <c r="C13" s="3" t="s">
        <v>341</v>
      </c>
      <c r="D13" s="3" t="s">
        <v>341</v>
      </c>
      <c r="E13" s="149" t="s">
        <v>341</v>
      </c>
      <c r="F13" s="3" t="s">
        <v>341</v>
      </c>
      <c r="G13" s="3" t="s">
        <v>341</v>
      </c>
      <c r="H13" s="3" t="s">
        <v>341</v>
      </c>
      <c r="I13" s="3" t="s">
        <v>341</v>
      </c>
      <c r="J13" s="3" t="s">
        <v>341</v>
      </c>
      <c r="K13" s="3" t="s">
        <v>341</v>
      </c>
      <c r="L13" s="149" t="s">
        <v>18</v>
      </c>
      <c r="M13" s="3" t="s">
        <v>18</v>
      </c>
      <c r="N13" s="3" t="s">
        <v>341</v>
      </c>
    </row>
    <row r="14" spans="1:15">
      <c r="B14" s="2" t="s">
        <v>361</v>
      </c>
      <c r="C14" s="2" t="s">
        <v>362</v>
      </c>
      <c r="D14" s="2" t="s">
        <v>362</v>
      </c>
      <c r="E14" s="132" t="s">
        <v>366</v>
      </c>
      <c r="F14" s="2" t="s">
        <v>362</v>
      </c>
      <c r="G14" s="3" t="s">
        <v>379</v>
      </c>
      <c r="H14" s="2" t="s">
        <v>380</v>
      </c>
      <c r="I14" s="2" t="s">
        <v>403</v>
      </c>
      <c r="J14" s="2" t="s">
        <v>404</v>
      </c>
      <c r="K14" s="2" t="s">
        <v>351</v>
      </c>
      <c r="L14" s="132" t="s">
        <v>364</v>
      </c>
      <c r="M14" s="2" t="s">
        <v>379</v>
      </c>
      <c r="N14" s="2" t="s">
        <v>366</v>
      </c>
      <c r="O14" s="2"/>
    </row>
    <row r="15" spans="1:15">
      <c r="B15" s="4"/>
      <c r="C15" s="2" t="s">
        <v>365</v>
      </c>
      <c r="D15" s="2" t="s">
        <v>365</v>
      </c>
      <c r="E15" s="132" t="s">
        <v>365</v>
      </c>
      <c r="F15" s="2" t="s">
        <v>365</v>
      </c>
      <c r="G15" s="2" t="s">
        <v>365</v>
      </c>
      <c r="H15" s="2" t="s">
        <v>365</v>
      </c>
      <c r="I15" s="2" t="s">
        <v>365</v>
      </c>
      <c r="J15" s="2" t="s">
        <v>365</v>
      </c>
      <c r="K15" s="2" t="s">
        <v>365</v>
      </c>
      <c r="L15" s="72"/>
      <c r="N15" s="2" t="s">
        <v>365</v>
      </c>
    </row>
    <row r="16" spans="1:15">
      <c r="A16">
        <v>1</v>
      </c>
      <c r="B16" s="1" t="s">
        <v>200</v>
      </c>
      <c r="E16" s="72"/>
      <c r="L16" s="72"/>
    </row>
    <row r="17" spans="1:15">
      <c r="A17">
        <f t="shared" ref="A17:A28" si="0">A16+1</f>
        <v>2</v>
      </c>
      <c r="B17" s="13" t="str">
        <f>'Title Input and Macros'!B16</f>
        <v>January</v>
      </c>
      <c r="C17" s="266"/>
      <c r="D17" s="266">
        <v>0</v>
      </c>
      <c r="E17" s="270"/>
      <c r="F17" s="266">
        <v>0</v>
      </c>
      <c r="G17" s="266"/>
      <c r="H17" s="266"/>
      <c r="I17" s="266"/>
      <c r="J17" s="266"/>
      <c r="K17" s="266"/>
      <c r="L17" s="295"/>
      <c r="M17" s="275"/>
      <c r="N17" s="68">
        <f t="shared" ref="N17:N28" si="1">SUM(C17:M17)</f>
        <v>0</v>
      </c>
    </row>
    <row r="18" spans="1:15">
      <c r="A18" s="72">
        <f t="shared" si="0"/>
        <v>3</v>
      </c>
      <c r="B18" s="13" t="str">
        <f>'Title Input and Macros'!B17</f>
        <v>February</v>
      </c>
      <c r="C18" s="266"/>
      <c r="D18" s="266">
        <v>0</v>
      </c>
      <c r="E18" s="270"/>
      <c r="F18" s="266">
        <v>0</v>
      </c>
      <c r="G18" s="266"/>
      <c r="H18" s="266"/>
      <c r="I18" s="266"/>
      <c r="J18" s="266"/>
      <c r="K18" s="266"/>
      <c r="L18" s="295"/>
      <c r="M18" s="275"/>
      <c r="N18" s="68">
        <f t="shared" si="1"/>
        <v>0</v>
      </c>
    </row>
    <row r="19" spans="1:15">
      <c r="A19" s="72">
        <f t="shared" si="0"/>
        <v>4</v>
      </c>
      <c r="B19" s="13" t="str">
        <f>'Title Input and Macros'!B18</f>
        <v>March</v>
      </c>
      <c r="C19" s="266"/>
      <c r="D19" s="266">
        <v>0</v>
      </c>
      <c r="E19" s="270"/>
      <c r="F19" s="266">
        <v>0</v>
      </c>
      <c r="G19" s="266"/>
      <c r="H19" s="266"/>
      <c r="I19" s="266"/>
      <c r="J19" s="266"/>
      <c r="K19" s="266"/>
      <c r="L19" s="295"/>
      <c r="M19" s="275"/>
      <c r="N19" s="68">
        <f t="shared" si="1"/>
        <v>0</v>
      </c>
    </row>
    <row r="20" spans="1:15">
      <c r="A20" s="72">
        <f t="shared" si="0"/>
        <v>5</v>
      </c>
      <c r="B20" s="13" t="str">
        <f>'Title Input and Macros'!B19</f>
        <v>April</v>
      </c>
      <c r="C20" s="266"/>
      <c r="D20" s="266">
        <v>0</v>
      </c>
      <c r="E20" s="270"/>
      <c r="F20" s="266">
        <v>-35599</v>
      </c>
      <c r="G20" s="266"/>
      <c r="H20" s="266"/>
      <c r="I20" s="266"/>
      <c r="J20" s="266"/>
      <c r="K20" s="266"/>
      <c r="L20" s="295"/>
      <c r="M20" s="275"/>
      <c r="N20" s="68">
        <f t="shared" si="1"/>
        <v>-35599</v>
      </c>
    </row>
    <row r="21" spans="1:15">
      <c r="A21" s="72">
        <f t="shared" si="0"/>
        <v>6</v>
      </c>
      <c r="B21" s="13" t="str">
        <f>'Title Input and Macros'!B20</f>
        <v>May</v>
      </c>
      <c r="C21" s="266"/>
      <c r="D21" s="266">
        <v>0</v>
      </c>
      <c r="E21" s="270"/>
      <c r="F21" s="266">
        <v>-17682.64</v>
      </c>
      <c r="G21" s="266"/>
      <c r="H21" s="266"/>
      <c r="I21" s="266"/>
      <c r="J21" s="266"/>
      <c r="K21" s="266"/>
      <c r="L21" s="295"/>
      <c r="M21" s="275"/>
      <c r="N21" s="68">
        <f t="shared" si="1"/>
        <v>-17682.64</v>
      </c>
    </row>
    <row r="22" spans="1:15">
      <c r="A22" s="72">
        <f t="shared" si="0"/>
        <v>7</v>
      </c>
      <c r="B22" s="13" t="str">
        <f>'Title Input and Macros'!B21</f>
        <v>June</v>
      </c>
      <c r="C22" s="266"/>
      <c r="D22" s="266">
        <v>0</v>
      </c>
      <c r="E22" s="270"/>
      <c r="F22" s="266">
        <v>-44138</v>
      </c>
      <c r="G22" s="266"/>
      <c r="H22" s="266"/>
      <c r="I22" s="266"/>
      <c r="J22" s="266"/>
      <c r="K22" s="266"/>
      <c r="L22" s="295"/>
      <c r="M22" s="275"/>
      <c r="N22" s="68">
        <f t="shared" si="1"/>
        <v>-44138</v>
      </c>
    </row>
    <row r="23" spans="1:15">
      <c r="A23" s="72">
        <f t="shared" si="0"/>
        <v>8</v>
      </c>
      <c r="B23" s="13" t="str">
        <f>'Title Input and Macros'!B22</f>
        <v>July</v>
      </c>
      <c r="C23" s="266"/>
      <c r="D23" s="266">
        <v>0</v>
      </c>
      <c r="E23" s="270"/>
      <c r="F23" s="266">
        <v>-103737.2</v>
      </c>
      <c r="G23" s="266"/>
      <c r="H23" s="266"/>
      <c r="I23" s="266"/>
      <c r="J23" s="266"/>
      <c r="K23" s="266"/>
      <c r="L23" s="295"/>
      <c r="M23" s="275"/>
      <c r="N23" s="68">
        <f t="shared" si="1"/>
        <v>-103737.2</v>
      </c>
    </row>
    <row r="24" spans="1:15">
      <c r="A24" s="72">
        <f t="shared" si="0"/>
        <v>9</v>
      </c>
      <c r="B24" s="13" t="str">
        <f>'Title Input and Macros'!B23</f>
        <v>August</v>
      </c>
      <c r="C24" s="266"/>
      <c r="D24" s="266">
        <v>0</v>
      </c>
      <c r="E24" s="270"/>
      <c r="F24" s="266">
        <v>-204997</v>
      </c>
      <c r="G24" s="266"/>
      <c r="H24" s="266"/>
      <c r="I24" s="266"/>
      <c r="J24" s="266"/>
      <c r="K24" s="266"/>
      <c r="L24" s="295"/>
      <c r="M24" s="275"/>
      <c r="N24" s="68">
        <f t="shared" si="1"/>
        <v>-204997</v>
      </c>
    </row>
    <row r="25" spans="1:15">
      <c r="A25" s="72">
        <f t="shared" si="0"/>
        <v>10</v>
      </c>
      <c r="B25" s="13" t="str">
        <f>'Title Input and Macros'!B24</f>
        <v>September</v>
      </c>
      <c r="C25" s="266"/>
      <c r="D25" s="266">
        <v>0</v>
      </c>
      <c r="E25" s="270"/>
      <c r="F25" s="266">
        <v>-147572</v>
      </c>
      <c r="G25" s="266"/>
      <c r="H25" s="266"/>
      <c r="I25" s="266"/>
      <c r="J25" s="266"/>
      <c r="K25" s="266"/>
      <c r="L25" s="295"/>
      <c r="M25" s="275"/>
      <c r="N25" s="68">
        <f t="shared" si="1"/>
        <v>-147572</v>
      </c>
    </row>
    <row r="26" spans="1:15">
      <c r="A26" s="72">
        <f t="shared" si="0"/>
        <v>11</v>
      </c>
      <c r="B26" s="13" t="str">
        <f>'Title Input and Macros'!B25</f>
        <v>October</v>
      </c>
      <c r="C26" s="266"/>
      <c r="D26" s="266">
        <v>0</v>
      </c>
      <c r="E26" s="270"/>
      <c r="F26" s="266">
        <v>-1295</v>
      </c>
      <c r="G26" s="266"/>
      <c r="H26" s="266"/>
      <c r="I26" s="266"/>
      <c r="J26" s="266"/>
      <c r="K26" s="266"/>
      <c r="L26" s="295"/>
      <c r="M26" s="275"/>
      <c r="N26" s="68">
        <f t="shared" si="1"/>
        <v>-1295</v>
      </c>
    </row>
    <row r="27" spans="1:15">
      <c r="A27" s="72">
        <f t="shared" si="0"/>
        <v>12</v>
      </c>
      <c r="B27" s="13" t="str">
        <f>'Title Input and Macros'!B26</f>
        <v>November</v>
      </c>
      <c r="C27" s="273"/>
      <c r="D27" s="266">
        <v>0</v>
      </c>
      <c r="E27" s="270"/>
      <c r="F27" s="266">
        <v>-31245</v>
      </c>
      <c r="G27" s="266"/>
      <c r="H27" s="273"/>
      <c r="I27" s="266"/>
      <c r="J27" s="266"/>
      <c r="K27" s="266"/>
      <c r="L27" s="295"/>
      <c r="M27" s="275"/>
      <c r="N27" s="68">
        <f t="shared" si="1"/>
        <v>-31245</v>
      </c>
    </row>
    <row r="28" spans="1:15">
      <c r="A28">
        <f t="shared" si="0"/>
        <v>13</v>
      </c>
      <c r="B28" s="13" t="str">
        <f>'Title Input and Macros'!B27</f>
        <v>December</v>
      </c>
      <c r="C28" s="274"/>
      <c r="D28" s="274">
        <v>0</v>
      </c>
      <c r="E28" s="332"/>
      <c r="F28" s="274">
        <v>0</v>
      </c>
      <c r="G28" s="274"/>
      <c r="H28" s="274"/>
      <c r="I28" s="274"/>
      <c r="J28" s="274"/>
      <c r="K28" s="274"/>
      <c r="L28" s="276"/>
      <c r="M28" s="274"/>
      <c r="N28" s="145">
        <f t="shared" si="1"/>
        <v>0</v>
      </c>
    </row>
    <row r="29" spans="1:15" ht="7.5" customHeight="1">
      <c r="B29" s="13"/>
      <c r="C29" s="68"/>
      <c r="D29" s="68"/>
      <c r="E29" s="106"/>
      <c r="F29" s="68"/>
      <c r="G29" s="68"/>
      <c r="H29" s="68"/>
      <c r="I29" s="68"/>
      <c r="J29" s="68"/>
      <c r="K29" s="68"/>
      <c r="N29" s="68"/>
    </row>
    <row r="30" spans="1:15">
      <c r="A30">
        <f>A28+1</f>
        <v>14</v>
      </c>
      <c r="B30" t="s">
        <v>76</v>
      </c>
      <c r="C30" s="266">
        <v>0</v>
      </c>
      <c r="D30" s="266">
        <v>0</v>
      </c>
      <c r="E30" s="269">
        <v>0</v>
      </c>
      <c r="F30" s="269">
        <v>0</v>
      </c>
      <c r="G30" s="269">
        <v>0</v>
      </c>
      <c r="H30" s="269">
        <v>0</v>
      </c>
      <c r="I30" s="269">
        <v>0</v>
      </c>
      <c r="J30" s="106">
        <v>0</v>
      </c>
      <c r="K30" s="106">
        <v>0</v>
      </c>
      <c r="L30" s="269"/>
      <c r="M30" s="68"/>
      <c r="N30" s="68">
        <f>SUM(C30:M30)</f>
        <v>0</v>
      </c>
    </row>
    <row r="31" spans="1:15">
      <c r="B31" t="s">
        <v>821</v>
      </c>
      <c r="C31" s="68">
        <v>0</v>
      </c>
      <c r="D31" s="68">
        <f t="shared" ref="D31:K31" si="2">+D28+D30</f>
        <v>0</v>
      </c>
      <c r="E31" s="68">
        <f t="shared" si="2"/>
        <v>0</v>
      </c>
      <c r="F31" s="106">
        <f>+F28+F30</f>
        <v>0</v>
      </c>
      <c r="G31" s="106">
        <f t="shared" si="2"/>
        <v>0</v>
      </c>
      <c r="H31" s="106">
        <f t="shared" si="2"/>
        <v>0</v>
      </c>
      <c r="I31" s="106">
        <f t="shared" si="2"/>
        <v>0</v>
      </c>
      <c r="J31" s="106">
        <f t="shared" si="2"/>
        <v>0</v>
      </c>
      <c r="K31" s="106">
        <f t="shared" si="2"/>
        <v>0</v>
      </c>
      <c r="L31" s="106"/>
      <c r="M31" s="68"/>
      <c r="N31" s="68">
        <f>SUM(C31:M31)</f>
        <v>0</v>
      </c>
      <c r="O31" s="68"/>
    </row>
    <row r="32" spans="1:15" ht="12" customHeight="1">
      <c r="A32">
        <f>+A30+1</f>
        <v>15</v>
      </c>
      <c r="B32" t="s">
        <v>444</v>
      </c>
      <c r="C32" s="266">
        <v>0</v>
      </c>
      <c r="D32" s="68">
        <v>0</v>
      </c>
      <c r="E32" s="106">
        <v>0</v>
      </c>
      <c r="F32" s="106">
        <f>F31</f>
        <v>0</v>
      </c>
      <c r="G32" s="106"/>
      <c r="H32" s="106">
        <f>+H31</f>
        <v>0</v>
      </c>
      <c r="I32" s="106"/>
      <c r="J32" s="106"/>
      <c r="K32" s="106">
        <f>+K31</f>
        <v>0</v>
      </c>
      <c r="L32" s="72"/>
      <c r="N32" s="68">
        <f>SUM(C32:M32)</f>
        <v>0</v>
      </c>
    </row>
    <row r="33" spans="1:14" ht="13.5" thickBot="1">
      <c r="A33">
        <f>+A32+1</f>
        <v>16</v>
      </c>
      <c r="B33" t="s">
        <v>305</v>
      </c>
      <c r="C33" s="150">
        <f t="shared" ref="C33:N33" si="3">+C31-C32</f>
        <v>0</v>
      </c>
      <c r="D33" s="150">
        <f t="shared" si="3"/>
        <v>0</v>
      </c>
      <c r="E33" s="150">
        <f t="shared" si="3"/>
        <v>0</v>
      </c>
      <c r="F33" s="150">
        <f t="shared" si="3"/>
        <v>0</v>
      </c>
      <c r="G33" s="150">
        <f t="shared" si="3"/>
        <v>0</v>
      </c>
      <c r="H33" s="150">
        <f t="shared" si="3"/>
        <v>0</v>
      </c>
      <c r="I33" s="150">
        <f t="shared" si="3"/>
        <v>0</v>
      </c>
      <c r="J33" s="150">
        <f t="shared" si="3"/>
        <v>0</v>
      </c>
      <c r="K33" s="150">
        <f t="shared" si="3"/>
        <v>0</v>
      </c>
      <c r="L33" s="150">
        <f t="shared" si="3"/>
        <v>0</v>
      </c>
      <c r="M33" s="150">
        <f t="shared" si="3"/>
        <v>0</v>
      </c>
      <c r="N33" s="150">
        <f t="shared" si="3"/>
        <v>0</v>
      </c>
    </row>
    <row r="34" spans="1:14" ht="13.5" thickTop="1">
      <c r="A34" s="72"/>
      <c r="B34" s="72"/>
      <c r="C34" s="68"/>
      <c r="D34" s="68"/>
      <c r="E34" s="106"/>
      <c r="F34" s="106"/>
      <c r="G34" s="106"/>
      <c r="H34" s="106"/>
      <c r="I34" s="106"/>
      <c r="J34" s="106"/>
      <c r="K34" s="106"/>
      <c r="L34" s="72"/>
      <c r="N34" s="68"/>
    </row>
    <row r="35" spans="1:14">
      <c r="A35" s="201"/>
      <c r="B35" s="201"/>
      <c r="C35" s="127"/>
      <c r="D35" s="232"/>
      <c r="E35" s="233"/>
      <c r="F35" s="73"/>
      <c r="H35" s="68"/>
    </row>
    <row r="36" spans="1:14" ht="13.5" customHeight="1">
      <c r="A36" s="208"/>
      <c r="B36" s="201"/>
      <c r="C36" s="127"/>
      <c r="D36" s="73"/>
      <c r="E36" s="73"/>
      <c r="F36" s="73"/>
      <c r="H36" s="68"/>
    </row>
    <row r="37" spans="1:14">
      <c r="A37" s="201"/>
      <c r="B37" s="201"/>
      <c r="C37" s="127"/>
      <c r="D37" s="73"/>
      <c r="E37" s="73"/>
      <c r="F37" s="73"/>
      <c r="H37" s="107"/>
    </row>
    <row r="38" spans="1:14">
      <c r="A38" s="201"/>
      <c r="B38" s="201"/>
      <c r="C38" s="127"/>
      <c r="D38" s="73"/>
      <c r="E38" s="73"/>
      <c r="F38" s="73"/>
    </row>
    <row r="39" spans="1:14" ht="11.25" customHeight="1">
      <c r="A39" s="201"/>
      <c r="B39" s="201"/>
      <c r="C39" s="127"/>
      <c r="D39" s="73"/>
      <c r="E39" s="73"/>
      <c r="F39" s="73"/>
    </row>
    <row r="40" spans="1:14">
      <c r="A40" s="201"/>
      <c r="B40" s="234"/>
      <c r="C40" s="127"/>
      <c r="D40" s="73"/>
      <c r="E40" s="73"/>
      <c r="F40" s="73"/>
    </row>
    <row r="41" spans="1:14">
      <c r="A41" s="201"/>
      <c r="B41" s="234"/>
      <c r="C41" s="127"/>
      <c r="D41" s="73"/>
      <c r="E41" s="73"/>
      <c r="F41" s="73"/>
    </row>
    <row r="42" spans="1:14">
      <c r="A42" s="201"/>
      <c r="B42" s="234"/>
      <c r="C42" s="127"/>
      <c r="D42" s="73"/>
      <c r="E42" s="73"/>
      <c r="F42" s="73"/>
    </row>
    <row r="43" spans="1:14">
      <c r="A43" s="201"/>
      <c r="B43" s="234"/>
      <c r="C43" s="127"/>
      <c r="D43" s="73"/>
      <c r="E43" s="73"/>
      <c r="F43" s="73"/>
    </row>
    <row r="44" spans="1:14">
      <c r="A44" s="201"/>
      <c r="B44" s="201"/>
      <c r="C44" s="127"/>
      <c r="D44" s="73"/>
      <c r="E44" s="73"/>
      <c r="F44" s="73"/>
    </row>
    <row r="45" spans="1:14">
      <c r="A45" s="201"/>
      <c r="B45" s="201"/>
      <c r="C45" s="73"/>
      <c r="D45" s="73"/>
      <c r="E45" s="73"/>
      <c r="F45" s="73"/>
    </row>
    <row r="46" spans="1:14">
      <c r="A46" s="10"/>
    </row>
    <row r="47" spans="1:14">
      <c r="A47" s="10"/>
    </row>
  </sheetData>
  <dataConsolidate/>
  <mergeCells count="5">
    <mergeCell ref="A6:N6"/>
    <mergeCell ref="A3:D3"/>
    <mergeCell ref="A2:D2"/>
    <mergeCell ref="A5:N5"/>
    <mergeCell ref="A4:N4"/>
  </mergeCells>
  <phoneticPr fontId="5" type="noConversion"/>
  <pageMargins left="0.75" right="0.75" top="1" bottom="1" header="0.5" footer="0.5"/>
  <pageSetup scale="8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17"/>
    <pageSetUpPr fitToPage="1"/>
  </sheetPr>
  <dimension ref="A1:N31"/>
  <sheetViews>
    <sheetView workbookViewId="0">
      <selection activeCell="A4" sqref="A4:M4"/>
    </sheetView>
  </sheetViews>
  <sheetFormatPr defaultRowHeight="12.75"/>
  <cols>
    <col min="1" max="1" width="4.42578125" bestFit="1" customWidth="1"/>
    <col min="2" max="2" width="33.85546875" customWidth="1"/>
    <col min="3" max="3" width="7.7109375" customWidth="1"/>
    <col min="4" max="4" width="9.28515625" style="2" bestFit="1" customWidth="1"/>
    <col min="5" max="5" width="17.5703125" bestFit="1" customWidth="1"/>
    <col min="6" max="6" width="11.28515625" bestFit="1" customWidth="1"/>
    <col min="7" max="7" width="12" customWidth="1"/>
    <col min="8" max="8" width="11.85546875" bestFit="1" customWidth="1"/>
    <col min="9" max="9" width="4.7109375" customWidth="1"/>
    <col min="10" max="10" width="17.5703125" bestFit="1" customWidth="1"/>
    <col min="11" max="11" width="11.5703125" bestFit="1" customWidth="1"/>
    <col min="12" max="12" width="11.5703125" customWidth="1"/>
    <col min="13" max="13" width="17.140625" bestFit="1" customWidth="1"/>
  </cols>
  <sheetData>
    <row r="1" spans="1:14">
      <c r="L1" t="str">
        <f>A!D1</f>
        <v>Docket No. RP16-299-000</v>
      </c>
    </row>
    <row r="2" spans="1:14">
      <c r="L2" t="s">
        <v>391</v>
      </c>
    </row>
    <row r="4" spans="1:14">
      <c r="A4" s="927" t="str">
        <f>'Sched B-2 pg 1'!A4:N4</f>
        <v>Tuscarora Gas Transmission Company</v>
      </c>
      <c r="B4" s="927"/>
      <c r="C4" s="927"/>
      <c r="D4" s="927"/>
      <c r="E4" s="927"/>
      <c r="F4" s="927"/>
      <c r="G4" s="927"/>
      <c r="H4" s="927"/>
      <c r="I4" s="927"/>
      <c r="J4" s="927"/>
      <c r="K4" s="927"/>
      <c r="L4" s="927"/>
      <c r="M4" s="927"/>
    </row>
    <row r="5" spans="1:14">
      <c r="A5" s="927" t="s">
        <v>392</v>
      </c>
      <c r="B5" s="927"/>
      <c r="C5" s="927"/>
      <c r="D5" s="927"/>
      <c r="E5" s="927"/>
      <c r="F5" s="927"/>
      <c r="G5" s="927"/>
      <c r="H5" s="927"/>
      <c r="I5" s="927"/>
      <c r="J5" s="927"/>
      <c r="K5" s="927"/>
      <c r="L5" s="927"/>
      <c r="M5" s="927"/>
    </row>
    <row r="6" spans="1:14">
      <c r="A6" s="927" t="str">
        <f>A!A6:D6</f>
        <v>For the Twelve Months Ended December 31, 2015, As Adjusted</v>
      </c>
      <c r="B6" s="927"/>
      <c r="C6" s="927"/>
      <c r="D6" s="927"/>
      <c r="E6" s="927"/>
      <c r="F6" s="927"/>
      <c r="G6" s="927"/>
      <c r="H6" s="927"/>
      <c r="I6" s="927"/>
      <c r="J6" s="927"/>
      <c r="K6" s="927"/>
      <c r="L6" s="927"/>
      <c r="M6" s="927"/>
    </row>
    <row r="8" spans="1:14">
      <c r="E8" s="2"/>
      <c r="M8" s="625" t="s">
        <v>402</v>
      </c>
    </row>
    <row r="9" spans="1:14">
      <c r="A9" t="s">
        <v>352</v>
      </c>
      <c r="C9" s="2" t="s">
        <v>393</v>
      </c>
      <c r="D9" s="2" t="s">
        <v>395</v>
      </c>
      <c r="E9" s="2" t="s">
        <v>396</v>
      </c>
      <c r="J9" s="2" t="s">
        <v>400</v>
      </c>
      <c r="M9" s="623" t="s">
        <v>203</v>
      </c>
    </row>
    <row r="10" spans="1:14">
      <c r="A10" s="1" t="s">
        <v>353</v>
      </c>
      <c r="B10" s="1" t="s">
        <v>354</v>
      </c>
      <c r="C10" s="3" t="s">
        <v>394</v>
      </c>
      <c r="D10" s="3" t="s">
        <v>355</v>
      </c>
      <c r="E10" s="27">
        <f>'Title Input and Macros'!B13</f>
        <v>42004</v>
      </c>
      <c r="F10" s="1" t="s">
        <v>397</v>
      </c>
      <c r="G10" s="3" t="s">
        <v>398</v>
      </c>
      <c r="H10" s="3" t="s">
        <v>399</v>
      </c>
      <c r="I10" s="3"/>
      <c r="J10" s="27">
        <f>'Title Input and Macros'!B12</f>
        <v>42369</v>
      </c>
      <c r="K10" s="3" t="s">
        <v>397</v>
      </c>
      <c r="L10" s="3" t="s">
        <v>398</v>
      </c>
      <c r="M10" s="626">
        <v>42551</v>
      </c>
      <c r="N10" s="1"/>
    </row>
    <row r="11" spans="1:14">
      <c r="B11" s="2" t="s">
        <v>361</v>
      </c>
      <c r="C11" s="2" t="s">
        <v>362</v>
      </c>
      <c r="D11" s="2" t="s">
        <v>366</v>
      </c>
      <c r="E11" s="2" t="s">
        <v>363</v>
      </c>
      <c r="F11" s="2" t="s">
        <v>364</v>
      </c>
      <c r="G11" s="2" t="s">
        <v>379</v>
      </c>
      <c r="H11" s="2" t="s">
        <v>380</v>
      </c>
      <c r="I11" s="491"/>
      <c r="J11" s="2" t="s">
        <v>403</v>
      </c>
      <c r="K11" s="2" t="s">
        <v>404</v>
      </c>
      <c r="L11" s="2" t="s">
        <v>351</v>
      </c>
      <c r="M11" s="2" t="s">
        <v>250</v>
      </c>
    </row>
    <row r="12" spans="1:14">
      <c r="C12" s="2"/>
      <c r="E12" s="2" t="s">
        <v>365</v>
      </c>
      <c r="F12" s="2" t="s">
        <v>365</v>
      </c>
      <c r="G12" s="2" t="s">
        <v>365</v>
      </c>
      <c r="H12" s="2" t="s">
        <v>365</v>
      </c>
      <c r="I12" s="491"/>
      <c r="J12" s="2" t="s">
        <v>365</v>
      </c>
      <c r="K12" s="2" t="s">
        <v>365</v>
      </c>
      <c r="L12" s="604" t="s">
        <v>365</v>
      </c>
      <c r="M12" s="2" t="s">
        <v>365</v>
      </c>
    </row>
    <row r="13" spans="1:14">
      <c r="A13">
        <v>1</v>
      </c>
      <c r="B13" s="4" t="s">
        <v>388</v>
      </c>
      <c r="C13" s="2">
        <v>101</v>
      </c>
      <c r="D13" s="2" t="s">
        <v>390</v>
      </c>
      <c r="E13" s="266">
        <v>205232570.15000001</v>
      </c>
      <c r="F13" s="269">
        <v>535405.53</v>
      </c>
      <c r="G13" s="269">
        <v>-195393.06</v>
      </c>
      <c r="H13" s="266">
        <v>0</v>
      </c>
      <c r="I13" s="266"/>
      <c r="J13" s="189">
        <f>E13+F13+G13+H13</f>
        <v>205572582.62</v>
      </c>
      <c r="K13" s="353">
        <f>-L16-L17</f>
        <v>179327.83000000002</v>
      </c>
      <c r="L13" s="353">
        <f>'Sched C-1'!F47</f>
        <v>-104097.16</v>
      </c>
      <c r="M13" s="189">
        <f>J13+K13+L13</f>
        <v>205647813.29000002</v>
      </c>
    </row>
    <row r="14" spans="1:14">
      <c r="A14">
        <f>A13+1</f>
        <v>2</v>
      </c>
      <c r="B14" t="s">
        <v>405</v>
      </c>
      <c r="C14" s="2">
        <v>102</v>
      </c>
      <c r="E14" s="266">
        <v>0</v>
      </c>
      <c r="F14" s="269">
        <v>0</v>
      </c>
      <c r="G14" s="269">
        <v>0</v>
      </c>
      <c r="H14" s="266">
        <v>0</v>
      </c>
      <c r="I14" s="266"/>
      <c r="J14" s="189">
        <f>E14+F14+G14+H14</f>
        <v>0</v>
      </c>
      <c r="K14" s="269">
        <v>0</v>
      </c>
      <c r="L14" s="269">
        <v>0</v>
      </c>
      <c r="M14" s="189">
        <f>J14+K14+L14</f>
        <v>0</v>
      </c>
    </row>
    <row r="15" spans="1:14">
      <c r="A15">
        <f>A14+1</f>
        <v>3</v>
      </c>
      <c r="B15" t="s">
        <v>406</v>
      </c>
      <c r="C15" s="2">
        <v>105</v>
      </c>
      <c r="E15" s="266">
        <v>0</v>
      </c>
      <c r="F15" s="269">
        <v>0</v>
      </c>
      <c r="G15" s="269">
        <v>0</v>
      </c>
      <c r="H15" s="266">
        <v>0</v>
      </c>
      <c r="I15" s="266"/>
      <c r="J15" s="189">
        <f>E15+F15+G15+H15</f>
        <v>0</v>
      </c>
      <c r="K15" s="269">
        <v>0</v>
      </c>
      <c r="L15" s="269">
        <v>0</v>
      </c>
      <c r="M15" s="189">
        <f>J15+K15+L15</f>
        <v>0</v>
      </c>
    </row>
    <row r="16" spans="1:14">
      <c r="A16">
        <f>A15+1</f>
        <v>4</v>
      </c>
      <c r="B16" t="s">
        <v>407</v>
      </c>
      <c r="C16" s="2">
        <v>106</v>
      </c>
      <c r="D16" s="895" t="s">
        <v>390</v>
      </c>
      <c r="E16" s="266">
        <v>462515.65</v>
      </c>
      <c r="F16" s="269">
        <v>141942.10999999999</v>
      </c>
      <c r="G16" s="269">
        <v>-517832.93</v>
      </c>
      <c r="H16" s="266">
        <v>0</v>
      </c>
      <c r="I16" s="266"/>
      <c r="J16" s="189">
        <f>E16+F16+G16+H16</f>
        <v>86624.830000000016</v>
      </c>
      <c r="K16" s="269">
        <v>0</v>
      </c>
      <c r="L16" s="353">
        <f>-J16</f>
        <v>-86624.830000000016</v>
      </c>
      <c r="M16" s="189">
        <f>J16+K16+L16</f>
        <v>0</v>
      </c>
    </row>
    <row r="17" spans="1:13">
      <c r="A17">
        <f>A16+1</f>
        <v>5</v>
      </c>
      <c r="B17" t="s">
        <v>408</v>
      </c>
      <c r="C17" s="2">
        <v>107</v>
      </c>
      <c r="D17" s="2" t="s">
        <v>410</v>
      </c>
      <c r="E17" s="266">
        <v>169.12</v>
      </c>
      <c r="F17" s="269">
        <v>437226.39</v>
      </c>
      <c r="G17" s="269">
        <v>-159514.71</v>
      </c>
      <c r="H17" s="266">
        <v>0</v>
      </c>
      <c r="I17" s="266"/>
      <c r="J17" s="189">
        <f>E17+F17+G17+H17</f>
        <v>277880.80000000005</v>
      </c>
      <c r="K17" s="353">
        <f>'Sched C-2'!H23</f>
        <v>325494</v>
      </c>
      <c r="L17" s="353">
        <f>-'Sched C-2'!I23</f>
        <v>-92703</v>
      </c>
      <c r="M17" s="189">
        <f>J17+K17+L17</f>
        <v>510671.80000000005</v>
      </c>
    </row>
    <row r="18" spans="1:13" ht="13.5" thickBot="1">
      <c r="A18">
        <f>A17+1</f>
        <v>6</v>
      </c>
      <c r="B18" t="s">
        <v>409</v>
      </c>
      <c r="C18" s="2"/>
      <c r="E18" s="69">
        <f t="shared" ref="E18:M18" si="0">SUM(E13:E17)</f>
        <v>205695254.92000002</v>
      </c>
      <c r="F18" s="69">
        <f t="shared" si="0"/>
        <v>1114574.03</v>
      </c>
      <c r="G18" s="69">
        <f t="shared" si="0"/>
        <v>-872740.7</v>
      </c>
      <c r="H18" s="69">
        <f t="shared" si="0"/>
        <v>0</v>
      </c>
      <c r="I18" s="69"/>
      <c r="J18" s="69">
        <f t="shared" si="0"/>
        <v>205937088.25000003</v>
      </c>
      <c r="K18" s="69">
        <f t="shared" si="0"/>
        <v>504821.83</v>
      </c>
      <c r="L18" s="69">
        <f>SUM(L13:L17)</f>
        <v>-283424.99</v>
      </c>
      <c r="M18" s="69">
        <f t="shared" si="0"/>
        <v>206158485.09000003</v>
      </c>
    </row>
    <row r="19" spans="1:13" ht="13.5" thickTop="1">
      <c r="C19" s="2"/>
      <c r="E19" s="5"/>
      <c r="F19" s="5"/>
      <c r="G19" s="5"/>
      <c r="H19" s="5"/>
      <c r="I19" s="5"/>
      <c r="J19" s="5"/>
      <c r="K19" s="5"/>
      <c r="L19" s="5"/>
      <c r="M19" s="5"/>
    </row>
    <row r="20" spans="1:13">
      <c r="B20" s="130"/>
      <c r="C20" s="132"/>
      <c r="D20" s="132"/>
      <c r="E20" s="129"/>
      <c r="F20" s="129"/>
      <c r="G20" s="129"/>
      <c r="H20" s="5"/>
      <c r="I20" s="5"/>
      <c r="J20" s="5"/>
      <c r="K20" s="5"/>
      <c r="L20" s="5"/>
      <c r="M20" s="5"/>
    </row>
    <row r="21" spans="1:13">
      <c r="C21" s="2"/>
      <c r="E21" s="5"/>
      <c r="F21" s="5"/>
      <c r="G21" s="5"/>
      <c r="H21" s="5"/>
      <c r="J21" s="129"/>
      <c r="K21" s="5"/>
      <c r="L21" s="5"/>
      <c r="M21" s="5"/>
    </row>
    <row r="22" spans="1:13">
      <c r="C22" s="2"/>
      <c r="E22" s="5"/>
      <c r="F22" s="5"/>
      <c r="G22" s="5"/>
      <c r="H22" s="5"/>
      <c r="I22" s="5"/>
      <c r="J22" s="5"/>
      <c r="K22" s="5"/>
      <c r="L22" s="5"/>
      <c r="M22" s="5"/>
    </row>
    <row r="23" spans="1:13">
      <c r="C23" s="2"/>
      <c r="E23" s="5"/>
      <c r="F23" s="5"/>
      <c r="G23" s="5"/>
      <c r="H23" s="5"/>
      <c r="I23" s="5"/>
      <c r="J23" s="5"/>
      <c r="K23" s="5"/>
      <c r="L23" s="5"/>
      <c r="M23" s="5"/>
    </row>
    <row r="24" spans="1:13">
      <c r="C24" s="2"/>
      <c r="E24" s="5"/>
      <c r="F24" s="5"/>
      <c r="G24" s="5"/>
      <c r="H24" s="5"/>
      <c r="I24" s="5"/>
      <c r="J24" s="5"/>
      <c r="K24" s="5"/>
      <c r="L24" s="5"/>
      <c r="M24" s="5"/>
    </row>
    <row r="25" spans="1:13">
      <c r="C25" s="2"/>
      <c r="E25" s="5"/>
      <c r="F25" s="5"/>
      <c r="G25" s="5"/>
      <c r="H25" s="5"/>
      <c r="I25" s="5"/>
      <c r="J25" s="5"/>
      <c r="K25" s="5"/>
      <c r="L25" s="5"/>
      <c r="M25" s="5"/>
    </row>
    <row r="26" spans="1:13">
      <c r="C26" s="2"/>
      <c r="E26" s="5"/>
      <c r="F26" s="5"/>
      <c r="G26" s="5"/>
      <c r="H26" s="5"/>
      <c r="I26" s="5"/>
      <c r="J26" s="5"/>
      <c r="K26" s="5"/>
      <c r="L26" s="5"/>
      <c r="M26" s="5"/>
    </row>
    <row r="27" spans="1:13">
      <c r="C27" s="2"/>
      <c r="E27" s="5"/>
      <c r="F27" s="5"/>
      <c r="G27" s="5"/>
      <c r="H27" s="5"/>
      <c r="I27" s="5"/>
      <c r="J27" s="5"/>
      <c r="K27" s="5"/>
      <c r="L27" s="5"/>
      <c r="M27" s="5"/>
    </row>
    <row r="28" spans="1:13">
      <c r="C28" s="2"/>
    </row>
    <row r="29" spans="1:13">
      <c r="C29" s="2"/>
    </row>
    <row r="30" spans="1:13">
      <c r="C30" s="2"/>
    </row>
    <row r="31" spans="1:13">
      <c r="C31" s="2"/>
    </row>
  </sheetData>
  <mergeCells count="3">
    <mergeCell ref="A5:M5"/>
    <mergeCell ref="A6:M6"/>
    <mergeCell ref="A4:M4"/>
  </mergeCells>
  <phoneticPr fontId="5" type="noConversion"/>
  <pageMargins left="0.75" right="0.75" top="1" bottom="1" header="0.5" footer="0.5"/>
  <pageSetup scale="7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EB93BDB013C94D88170DA59FC0D3EB" ma:contentTypeVersion="0" ma:contentTypeDescription="Create a new document." ma:contentTypeScope="" ma:versionID="98cb5c851880a7fd9c9df53ec5073f3e">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A6BD3C-8179-4332-9DFA-469C3BEE5E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1227231-43DC-4C77-A32F-BABCBBFE4541}">
  <ds:schemaRefs>
    <ds:schemaRef ds:uri="http://www.w3.org/XML/1998/namespace"/>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purl.org/dc/dcmitype/"/>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3C33553B-F4B1-472F-8A60-1016D4A933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75</vt:i4>
      </vt:variant>
      <vt:variant>
        <vt:lpstr>Named Ranges</vt:lpstr>
      </vt:variant>
      <vt:variant>
        <vt:i4>19</vt:i4>
      </vt:variant>
    </vt:vector>
  </HeadingPairs>
  <TitlesOfParts>
    <vt:vector size="94" baseType="lpstr">
      <vt:lpstr>F-2 niAFT</vt:lpstr>
      <vt:lpstr>Title Input and Macros</vt:lpstr>
      <vt:lpstr>A</vt:lpstr>
      <vt:lpstr>B</vt:lpstr>
      <vt:lpstr>Sched B-1 Pg 1</vt:lpstr>
      <vt:lpstr>Sched B-1 Pg 2</vt:lpstr>
      <vt:lpstr>Sched B-2 pg 1</vt:lpstr>
      <vt:lpstr>Sched B-2 pg 2</vt:lpstr>
      <vt:lpstr>C</vt:lpstr>
      <vt:lpstr>Sched C-1</vt:lpstr>
      <vt:lpstr>Sched C-2</vt:lpstr>
      <vt:lpstr>Sched C-3</vt:lpstr>
      <vt:lpstr>Sched C-4</vt:lpstr>
      <vt:lpstr>Sched C-5</vt:lpstr>
      <vt:lpstr>D</vt:lpstr>
      <vt:lpstr>Sched D-1</vt:lpstr>
      <vt:lpstr>Sched D-2</vt:lpstr>
      <vt:lpstr>E</vt:lpstr>
      <vt:lpstr>Sched E-1</vt:lpstr>
      <vt:lpstr>Sched E-2</vt:lpstr>
      <vt:lpstr>Sched E-3</vt:lpstr>
      <vt:lpstr>F-1</vt:lpstr>
      <vt:lpstr>F-2</vt:lpstr>
      <vt:lpstr>F-3</vt:lpstr>
      <vt:lpstr>F-3123</vt:lpstr>
      <vt:lpstr>F-4</vt:lpstr>
      <vt:lpstr>G </vt:lpstr>
      <vt:lpstr>G-1 </vt:lpstr>
      <vt:lpstr>G-2 </vt:lpstr>
      <vt:lpstr>G-3</vt:lpstr>
      <vt:lpstr>G-4</vt:lpstr>
      <vt:lpstr>G-5</vt:lpstr>
      <vt:lpstr>G-6</vt:lpstr>
      <vt:lpstr>H-1</vt:lpstr>
      <vt:lpstr>H-1 Table</vt:lpstr>
      <vt:lpstr>H-1 ADJ</vt:lpstr>
      <vt:lpstr>H-1(1)</vt:lpstr>
      <vt:lpstr>H-1 (1)(a)</vt:lpstr>
      <vt:lpstr>H-1 (1)(b)</vt:lpstr>
      <vt:lpstr>H-1 (1)(c) $</vt:lpstr>
      <vt:lpstr>H-1 (1)(c) Dth</vt:lpstr>
      <vt:lpstr>H-1 (2)(a) $ </vt:lpstr>
      <vt:lpstr>H-1 (2)(a) Dth</vt:lpstr>
      <vt:lpstr>Sched H-1 (2)(b)</vt:lpstr>
      <vt:lpstr>Sched H-1 (2)(c)</vt:lpstr>
      <vt:lpstr>Sched H-1 (2)(d)</vt:lpstr>
      <vt:lpstr>Sched H-1 (2)(e)</vt:lpstr>
      <vt:lpstr>Sched H-1 (2)(f)</vt:lpstr>
      <vt:lpstr>Sched H-1 (2)(g)</vt:lpstr>
      <vt:lpstr>Sched H-1 (2)(h)</vt:lpstr>
      <vt:lpstr>Sched H-1 (2)(i)</vt:lpstr>
      <vt:lpstr>Sched H-1 (2)(j)</vt:lpstr>
      <vt:lpstr>Sched H-1 (2)(k)</vt:lpstr>
      <vt:lpstr>H-2 P1</vt:lpstr>
      <vt:lpstr>H-2 P2</vt:lpstr>
      <vt:lpstr>Sched H-2(1)</vt:lpstr>
      <vt:lpstr>H-3</vt:lpstr>
      <vt:lpstr>H-3(1)</vt:lpstr>
      <vt:lpstr>H-3(2)</vt:lpstr>
      <vt:lpstr>H-4 1of3</vt:lpstr>
      <vt:lpstr>H-4 2of3</vt:lpstr>
      <vt:lpstr>Sched H-4 3of3</vt:lpstr>
      <vt:lpstr>I-1</vt:lpstr>
      <vt:lpstr>I-1(a)1</vt:lpstr>
      <vt:lpstr>I-1(b)</vt:lpstr>
      <vt:lpstr>Sched I-1(c)</vt:lpstr>
      <vt:lpstr>I-2</vt:lpstr>
      <vt:lpstr>I-3</vt:lpstr>
      <vt:lpstr>I-4</vt:lpstr>
      <vt:lpstr>I-5</vt:lpstr>
      <vt:lpstr>J</vt:lpstr>
      <vt:lpstr>J-1</vt:lpstr>
      <vt:lpstr>J-2</vt:lpstr>
      <vt:lpstr>L</vt:lpstr>
      <vt:lpstr>M</vt:lpstr>
      <vt:lpstr>D!Print_Area</vt:lpstr>
      <vt:lpstr>'F-2'!Print_Area</vt:lpstr>
      <vt:lpstr>'F-4'!Print_Area</vt:lpstr>
      <vt:lpstr>'H-1 (2)(a) Dth'!Print_Area</vt:lpstr>
      <vt:lpstr>'H-1(1)'!Print_Area</vt:lpstr>
      <vt:lpstr>'H-3(1)'!Print_Area</vt:lpstr>
      <vt:lpstr>'H-3(2)'!Print_Area</vt:lpstr>
      <vt:lpstr>'I-2'!Print_Area</vt:lpstr>
      <vt:lpstr>L!Print_Area</vt:lpstr>
      <vt:lpstr>M!Print_Area</vt:lpstr>
      <vt:lpstr>'Sched B-1 Pg 1'!Print_Area</vt:lpstr>
      <vt:lpstr>'Sched B-2 pg 1'!Print_Area</vt:lpstr>
      <vt:lpstr>'Sched B-2 pg 2'!Print_Area</vt:lpstr>
      <vt:lpstr>'Sched C-1'!Print_Area</vt:lpstr>
      <vt:lpstr>'Sched C-2'!Print_Area</vt:lpstr>
      <vt:lpstr>'Sched C-3'!Print_Area</vt:lpstr>
      <vt:lpstr>'Title Input and Macros'!Print_Area</vt:lpstr>
      <vt:lpstr>'G-1 '!Print_Titles</vt:lpstr>
      <vt:lpstr>'G-2 '!Print_Titles</vt:lpstr>
    </vt:vector>
  </TitlesOfParts>
  <Company>TransCanada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Jeff_Golokow</dc:creator>
  <cp:lastModifiedBy>Robert Majkowski</cp:lastModifiedBy>
  <cp:lastPrinted>2016-04-01T12:43:28Z</cp:lastPrinted>
  <dcterms:created xsi:type="dcterms:W3CDTF">2005-06-16T21:17:33Z</dcterms:created>
  <dcterms:modified xsi:type="dcterms:W3CDTF">2016-04-06T20:51:03Z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4XLRetrievePerWS">
    <vt:lpwstr>Y</vt:lpwstr>
  </property>
  <property fmtid="{D5CDD505-2E9C-101B-9397-08002B2CF9AE}" pid="3" name="K4XLScatterRefresh">
    <vt:lpwstr>N</vt:lpwstr>
  </property>
  <property fmtid="{D5CDD505-2E9C-101B-9397-08002B2CF9AE}" pid="4" name="K4XLVersion">
    <vt:lpwstr>3.4.6.981</vt:lpwstr>
  </property>
  <property fmtid="{D5CDD505-2E9C-101B-9397-08002B2CF9AE}" pid="5" name="K4XL KID">
    <vt:lpwstr/>
  </property>
  <property fmtid="{D5CDD505-2E9C-101B-9397-08002B2CF9AE}" pid="6" name="ContentTypeId">
    <vt:lpwstr>0x01010027EB93BDB013C94D88170DA59FC0D3EB</vt:lpwstr>
  </property>
</Properties>
</file>